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4526"/>
  <workbookPr date1904="1" showInkAnnotation="0" autoCompressPictures="0"/>
  <bookViews>
    <workbookView xWindow="0" yWindow="0" windowWidth="31800" windowHeight="19880" activeTab="6"/>
  </bookViews>
  <sheets>
    <sheet name="Vejledning" sheetId="5" r:id="rId1"/>
    <sheet name="Nylønstillæg" sheetId="6" r:id="rId2"/>
    <sheet name="Trin4tillaeg" sheetId="435" r:id="rId3"/>
    <sheet name="LonspecAar" sheetId="497" r:id="rId4"/>
    <sheet name="LonspecAlle" sheetId="499" r:id="rId5"/>
    <sheet name="Lonspec" sheetId="235" r:id="rId6"/>
    <sheet name="A" sheetId="270" r:id="rId7"/>
    <sheet name="B" sheetId="531" r:id="rId8"/>
    <sheet name="C" sheetId="532" r:id="rId9"/>
    <sheet name="D" sheetId="533" r:id="rId10"/>
    <sheet name="E" sheetId="534" r:id="rId11"/>
    <sheet name="F" sheetId="535" r:id="rId12"/>
    <sheet name="G" sheetId="536" r:id="rId13"/>
    <sheet name="H" sheetId="537" r:id="rId14"/>
    <sheet name="I" sheetId="538" r:id="rId15"/>
    <sheet name="J" sheetId="539" r:id="rId16"/>
    <sheet name="K" sheetId="540" r:id="rId17"/>
    <sheet name="L" sheetId="541" r:id="rId18"/>
    <sheet name="M" sheetId="542" r:id="rId19"/>
    <sheet name="N" sheetId="543" r:id="rId20"/>
    <sheet name="O" sheetId="544" r:id="rId21"/>
    <sheet name="P" sheetId="545" r:id="rId22"/>
    <sheet name="LonspecLeder" sheetId="236" r:id="rId23"/>
    <sheet name="Leder" sheetId="173" r:id="rId24"/>
    <sheet name="andre" sheetId="17" state="hidden" r:id="rId25"/>
    <sheet name="Grundlon12" sheetId="269" r:id="rId26"/>
    <sheet name="Ex09_10" sheetId="63" r:id="rId27"/>
    <sheet name="Ex10_11" sheetId="18" r:id="rId28"/>
    <sheet name="Ex11_12" sheetId="219" r:id="rId29"/>
    <sheet name="Ex12_13" sheetId="371" r:id="rId30"/>
    <sheet name="Ex13_14" sheetId="419" r:id="rId31"/>
    <sheet name="Grundlon" sheetId="2" r:id="rId32"/>
  </sheets>
  <externalReferences>
    <externalReference r:id="rId33"/>
    <externalReference r:id="rId34"/>
    <externalReference r:id="rId35"/>
    <externalReference r:id="rId36"/>
  </externalReferences>
  <definedNames>
    <definedName name="_Udskriftsområde" localSheetId="24">andre!$A$1:$L$22</definedName>
    <definedName name="base" localSheetId="22">LonspecLeder!#REF!</definedName>
    <definedName name="basistabel" localSheetId="24">Grundlon!$A$59:$G$64</definedName>
    <definedName name="basistabel" localSheetId="25">[1]Grundlon!$A$59:$G$64</definedName>
    <definedName name="basistabel" localSheetId="5">[2]Grundlon!$A$59:$G$64</definedName>
    <definedName name="basistabel" localSheetId="4">[2]Grundlon!$A$59:$G$64</definedName>
    <definedName name="basistabel" localSheetId="22">[2]Grundlon!$A$59:$G$64</definedName>
    <definedName name="basistabel" localSheetId="3">[2]Grundlon!$A$59:$G$64</definedName>
    <definedName name="basistabel">Grundlon!$A$4:$G$64</definedName>
    <definedName name="basistabel12" localSheetId="2">[3]Grundlon12!$A$59:$G$64</definedName>
    <definedName name="basistabel12">Grundlon12!$A$59:$G$66</definedName>
    <definedName name="bytom" localSheetId="30">[4]!bytom</definedName>
    <definedName name="lmdr">LonspecLeder!$I$5:$J$16</definedName>
    <definedName name="maaned" localSheetId="4">LonspecAlle!$F$3:$G$15</definedName>
    <definedName name="maaned" localSheetId="3">LonspecAar!$F$2:$G$14</definedName>
    <definedName name="maaned">Lonspec!$F$2:$G$15</definedName>
    <definedName name="mdr" localSheetId="3">LonspecAar!$R$4:$S$16</definedName>
    <definedName name="mdr">Lonspec!$I$5:$J$17</definedName>
    <definedName name="omraadetabel" localSheetId="24">Grundlon!$A$69:$F$74</definedName>
    <definedName name="omraadetabel" localSheetId="25">[1]Grundlon!$A$69:$F$74</definedName>
    <definedName name="omraadetabel" localSheetId="5">[2]Grundlon!$A$69:$F$74</definedName>
    <definedName name="omraadetabel" localSheetId="4">[2]Grundlon!$A$69:$F$74</definedName>
    <definedName name="omraadetabel" localSheetId="22">[2]Grundlon!$A$69:$F$74</definedName>
    <definedName name="omraadetabel" localSheetId="3">[2]Grundlon!$A$69:$F$74</definedName>
    <definedName name="omraadetabel">Grundlon!$A$69:$F$74</definedName>
    <definedName name="omraadetabel12" localSheetId="2">[3]Grundlon12!$A$69:$F$74</definedName>
    <definedName name="omraadetabel12">Grundlon12!$A$71:$F$78</definedName>
    <definedName name="skalalontabel" localSheetId="24">Grundlon!$A$4:$G$58</definedName>
    <definedName name="Skalalontabel" localSheetId="25">[1]Grundlon!$A$4:$G$58</definedName>
    <definedName name="Skalalontabel" localSheetId="5">[2]Grundlon!$A$4:$G$58</definedName>
    <definedName name="Skalalontabel" localSheetId="4">[2]Grundlon!$A$4:$G$58</definedName>
    <definedName name="Skalalontabel" localSheetId="22">[2]Grundlon!$A$4:$G$58</definedName>
    <definedName name="Skalalontabel" localSheetId="3">[2]Grundlon!$A$4:$G$58</definedName>
    <definedName name="Skalalontabel12" localSheetId="2">[3]Grundlon12!$A$4:$G$58</definedName>
    <definedName name="Skalalontabel12">Grundlon12!$A$4:$G$58</definedName>
    <definedName name="_xlnm.Print_Area" localSheetId="6">A!$B$1:$S$113</definedName>
    <definedName name="_xlnm.Print_Area" localSheetId="7">B!$B$1:$S$113</definedName>
    <definedName name="_xlnm.Print_Area" localSheetId="8">'C'!$B$1:$S$113</definedName>
    <definedName name="_xlnm.Print_Area" localSheetId="9">D!$B$1:$S$113</definedName>
    <definedName name="_xlnm.Print_Area" localSheetId="10">E!$B$1:$S$113</definedName>
    <definedName name="_xlnm.Print_Area" localSheetId="26">Ex09_10!$A$1:$P$105</definedName>
    <definedName name="_xlnm.Print_Area" localSheetId="27">Ex10_11!$A$1:$P$105</definedName>
    <definedName name="_xlnm.Print_Area" localSheetId="28">Ex11_12!$A$1:$P$105</definedName>
    <definedName name="_xlnm.Print_Area" localSheetId="29">Ex12_13!$A$1:$P$105</definedName>
    <definedName name="_xlnm.Print_Area" localSheetId="30">Ex13_14!$A$1:$P$105</definedName>
    <definedName name="_xlnm.Print_Area" localSheetId="11">F!$B$1:$S$113</definedName>
    <definedName name="_xlnm.Print_Area" localSheetId="12">G!$B$1:$S$113</definedName>
    <definedName name="_xlnm.Print_Area" localSheetId="25">Grundlon12!$A$86:$E$104</definedName>
    <definedName name="_xlnm.Print_Area" localSheetId="13">H!$B$1:$S$113</definedName>
    <definedName name="_xlnm.Print_Area" localSheetId="14">I!$B$1:$S$113</definedName>
    <definedName name="_xlnm.Print_Area" localSheetId="15">J!$B$1:$S$113</definedName>
    <definedName name="_xlnm.Print_Area" localSheetId="16">K!$B$1:$S$113</definedName>
    <definedName name="_xlnm.Print_Area" localSheetId="17">L!$B$1:$S$113</definedName>
    <definedName name="_xlnm.Print_Area" localSheetId="23">Leder!$A$1:$P$71</definedName>
    <definedName name="_xlnm.Print_Area" localSheetId="5">Lonspec!$B$4:$E$74</definedName>
    <definedName name="_xlnm.Print_Area" localSheetId="4">LonspecAlle!$B$4:$T$74</definedName>
    <definedName name="_xlnm.Print_Area" localSheetId="22">LonspecLeder!$B$4:$C$43</definedName>
    <definedName name="_xlnm.Print_Area" localSheetId="3">LonspecAar!$B$3:$O$73</definedName>
    <definedName name="_xlnm.Print_Area" localSheetId="18">M!$B$1:$S$113</definedName>
    <definedName name="_xlnm.Print_Area" localSheetId="19">N!$B$1:$S$113</definedName>
    <definedName name="_xlnm.Print_Area" localSheetId="20">O!$B$1:$S$113</definedName>
    <definedName name="_xlnm.Print_Area" localSheetId="21">P!$B$1:$S$113</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45" i="270" l="1"/>
  <c r="G46" i="270"/>
  <c r="G57" i="270"/>
  <c r="G108" i="270"/>
  <c r="G140" i="270"/>
  <c r="G69" i="270"/>
  <c r="G110" i="270"/>
  <c r="G111" i="270"/>
  <c r="G112" i="270"/>
  <c r="G113" i="270"/>
  <c r="G47" i="270"/>
  <c r="G48" i="270"/>
  <c r="G49" i="270"/>
  <c r="G50" i="270"/>
  <c r="G51" i="270"/>
  <c r="G52" i="270"/>
  <c r="G53" i="270"/>
  <c r="G54" i="270"/>
  <c r="G55" i="270"/>
  <c r="G56" i="270"/>
  <c r="G58" i="270"/>
  <c r="G59" i="270"/>
  <c r="G60" i="270"/>
  <c r="G61" i="270"/>
  <c r="G62" i="270"/>
  <c r="G63" i="270"/>
  <c r="G68" i="270"/>
  <c r="G70" i="270"/>
  <c r="G71" i="270"/>
  <c r="G72" i="270"/>
  <c r="G96" i="270"/>
  <c r="S96" i="270"/>
  <c r="P38" i="270"/>
  <c r="Q38" i="270"/>
  <c r="Q38" i="545"/>
  <c r="Q38" i="544"/>
  <c r="Q38" i="543"/>
  <c r="Q38" i="542"/>
  <c r="Q38" i="541"/>
  <c r="Q38" i="540"/>
  <c r="Q38" i="539"/>
  <c r="Q38" i="538"/>
  <c r="Q38" i="537"/>
  <c r="Q38" i="536"/>
  <c r="Q38" i="535"/>
  <c r="Q38" i="534"/>
  <c r="Q38" i="533"/>
  <c r="Q38" i="532"/>
  <c r="Q38" i="531"/>
  <c r="G143" i="270"/>
  <c r="G147" i="270"/>
  <c r="H146" i="532"/>
  <c r="I146" i="532"/>
  <c r="J146" i="532"/>
  <c r="K146" i="532"/>
  <c r="L146" i="532"/>
  <c r="M146" i="532"/>
  <c r="N146" i="532"/>
  <c r="O146" i="532"/>
  <c r="P146" i="532"/>
  <c r="Q146" i="532"/>
  <c r="R146" i="532"/>
  <c r="H147" i="532"/>
  <c r="I147" i="532"/>
  <c r="J147" i="532"/>
  <c r="K147" i="532"/>
  <c r="L147" i="532"/>
  <c r="M147" i="532"/>
  <c r="N147" i="532"/>
  <c r="O147" i="532"/>
  <c r="P147" i="532"/>
  <c r="Q147" i="532"/>
  <c r="R147" i="532"/>
  <c r="H148" i="532"/>
  <c r="I148" i="532"/>
  <c r="J148" i="532"/>
  <c r="K148" i="532"/>
  <c r="L148" i="532"/>
  <c r="M148" i="532"/>
  <c r="N148" i="532"/>
  <c r="O148" i="532"/>
  <c r="P148" i="532"/>
  <c r="Q148" i="532"/>
  <c r="R148" i="532"/>
  <c r="H149" i="532"/>
  <c r="I149" i="532"/>
  <c r="J149" i="532"/>
  <c r="K149" i="532"/>
  <c r="L149" i="532"/>
  <c r="M149" i="532"/>
  <c r="N149" i="532"/>
  <c r="O149" i="532"/>
  <c r="P149" i="532"/>
  <c r="Q149" i="532"/>
  <c r="R149" i="532"/>
  <c r="H150" i="532"/>
  <c r="I150" i="532"/>
  <c r="J150" i="532"/>
  <c r="K150" i="532"/>
  <c r="L150" i="532"/>
  <c r="M150" i="532"/>
  <c r="N150" i="532"/>
  <c r="O150" i="532"/>
  <c r="P150" i="532"/>
  <c r="Q150" i="532"/>
  <c r="R150" i="532"/>
  <c r="H146" i="533"/>
  <c r="I146" i="533"/>
  <c r="J146" i="533"/>
  <c r="K146" i="533"/>
  <c r="L146" i="533"/>
  <c r="M146" i="533"/>
  <c r="N146" i="533"/>
  <c r="O146" i="533"/>
  <c r="P146" i="533"/>
  <c r="Q146" i="533"/>
  <c r="R146" i="533"/>
  <c r="H147" i="533"/>
  <c r="I147" i="533"/>
  <c r="J147" i="533"/>
  <c r="K147" i="533"/>
  <c r="L147" i="533"/>
  <c r="M147" i="533"/>
  <c r="N147" i="533"/>
  <c r="O147" i="533"/>
  <c r="P147" i="533"/>
  <c r="Q147" i="533"/>
  <c r="R147" i="533"/>
  <c r="H148" i="533"/>
  <c r="I148" i="533"/>
  <c r="J148" i="533"/>
  <c r="K148" i="533"/>
  <c r="L148" i="533"/>
  <c r="M148" i="533"/>
  <c r="N148" i="533"/>
  <c r="O148" i="533"/>
  <c r="P148" i="533"/>
  <c r="Q148" i="533"/>
  <c r="R148" i="533"/>
  <c r="H149" i="533"/>
  <c r="I149" i="533"/>
  <c r="J149" i="533"/>
  <c r="K149" i="533"/>
  <c r="L149" i="533"/>
  <c r="M149" i="533"/>
  <c r="N149" i="533"/>
  <c r="O149" i="533"/>
  <c r="P149" i="533"/>
  <c r="Q149" i="533"/>
  <c r="R149" i="533"/>
  <c r="H150" i="533"/>
  <c r="I150" i="533"/>
  <c r="J150" i="533"/>
  <c r="K150" i="533"/>
  <c r="L150" i="533"/>
  <c r="M150" i="533"/>
  <c r="N150" i="533"/>
  <c r="O150" i="533"/>
  <c r="P150" i="533"/>
  <c r="Q150" i="533"/>
  <c r="R150" i="533"/>
  <c r="H146" i="534"/>
  <c r="I146" i="534"/>
  <c r="J146" i="534"/>
  <c r="K146" i="534"/>
  <c r="L146" i="534"/>
  <c r="M146" i="534"/>
  <c r="N146" i="534"/>
  <c r="O146" i="534"/>
  <c r="P146" i="534"/>
  <c r="Q146" i="534"/>
  <c r="R146" i="534"/>
  <c r="H147" i="534"/>
  <c r="I147" i="534"/>
  <c r="J147" i="534"/>
  <c r="K147" i="534"/>
  <c r="L147" i="534"/>
  <c r="M147" i="534"/>
  <c r="N147" i="534"/>
  <c r="O147" i="534"/>
  <c r="P147" i="534"/>
  <c r="Q147" i="534"/>
  <c r="R147" i="534"/>
  <c r="H148" i="534"/>
  <c r="I148" i="534"/>
  <c r="J148" i="534"/>
  <c r="K148" i="534"/>
  <c r="L148" i="534"/>
  <c r="M148" i="534"/>
  <c r="N148" i="534"/>
  <c r="O148" i="534"/>
  <c r="P148" i="534"/>
  <c r="Q148" i="534"/>
  <c r="R148" i="534"/>
  <c r="H149" i="534"/>
  <c r="I149" i="534"/>
  <c r="J149" i="534"/>
  <c r="K149" i="534"/>
  <c r="L149" i="534"/>
  <c r="M149" i="534"/>
  <c r="N149" i="534"/>
  <c r="O149" i="534"/>
  <c r="P149" i="534"/>
  <c r="Q149" i="534"/>
  <c r="R149" i="534"/>
  <c r="H150" i="534"/>
  <c r="I150" i="534"/>
  <c r="J150" i="534"/>
  <c r="K150" i="534"/>
  <c r="L150" i="534"/>
  <c r="M150" i="534"/>
  <c r="N150" i="534"/>
  <c r="O150" i="534"/>
  <c r="P150" i="534"/>
  <c r="Q150" i="534"/>
  <c r="R150" i="534"/>
  <c r="H146" i="535"/>
  <c r="I146" i="535"/>
  <c r="J146" i="535"/>
  <c r="K146" i="535"/>
  <c r="L146" i="535"/>
  <c r="M146" i="535"/>
  <c r="N146" i="535"/>
  <c r="O146" i="535"/>
  <c r="P146" i="535"/>
  <c r="Q146" i="535"/>
  <c r="R146" i="535"/>
  <c r="H147" i="535"/>
  <c r="I147" i="535"/>
  <c r="J147" i="535"/>
  <c r="K147" i="535"/>
  <c r="L147" i="535"/>
  <c r="M147" i="535"/>
  <c r="N147" i="535"/>
  <c r="O147" i="535"/>
  <c r="P147" i="535"/>
  <c r="Q147" i="535"/>
  <c r="R147" i="535"/>
  <c r="H148" i="535"/>
  <c r="I148" i="535"/>
  <c r="J148" i="535"/>
  <c r="K148" i="535"/>
  <c r="L148" i="535"/>
  <c r="M148" i="535"/>
  <c r="N148" i="535"/>
  <c r="O148" i="535"/>
  <c r="P148" i="535"/>
  <c r="Q148" i="535"/>
  <c r="R148" i="535"/>
  <c r="H149" i="535"/>
  <c r="I149" i="535"/>
  <c r="J149" i="535"/>
  <c r="K149" i="535"/>
  <c r="L149" i="535"/>
  <c r="M149" i="535"/>
  <c r="N149" i="535"/>
  <c r="O149" i="535"/>
  <c r="P149" i="535"/>
  <c r="Q149" i="535"/>
  <c r="R149" i="535"/>
  <c r="H150" i="535"/>
  <c r="I150" i="535"/>
  <c r="J150" i="535"/>
  <c r="K150" i="535"/>
  <c r="L150" i="535"/>
  <c r="M150" i="535"/>
  <c r="N150" i="535"/>
  <c r="O150" i="535"/>
  <c r="P150" i="535"/>
  <c r="Q150" i="535"/>
  <c r="R150" i="535"/>
  <c r="H146" i="536"/>
  <c r="I146" i="536"/>
  <c r="J146" i="536"/>
  <c r="K146" i="536"/>
  <c r="L146" i="536"/>
  <c r="M146" i="536"/>
  <c r="N146" i="536"/>
  <c r="O146" i="536"/>
  <c r="P146" i="536"/>
  <c r="Q146" i="536"/>
  <c r="R146" i="536"/>
  <c r="H147" i="536"/>
  <c r="I147" i="536"/>
  <c r="J147" i="536"/>
  <c r="K147" i="536"/>
  <c r="L147" i="536"/>
  <c r="M147" i="536"/>
  <c r="N147" i="536"/>
  <c r="O147" i="536"/>
  <c r="P147" i="536"/>
  <c r="Q147" i="536"/>
  <c r="R147" i="536"/>
  <c r="H148" i="536"/>
  <c r="I148" i="536"/>
  <c r="J148" i="536"/>
  <c r="K148" i="536"/>
  <c r="L148" i="536"/>
  <c r="M148" i="536"/>
  <c r="N148" i="536"/>
  <c r="O148" i="536"/>
  <c r="P148" i="536"/>
  <c r="Q148" i="536"/>
  <c r="R148" i="536"/>
  <c r="H149" i="536"/>
  <c r="I149" i="536"/>
  <c r="J149" i="536"/>
  <c r="K149" i="536"/>
  <c r="L149" i="536"/>
  <c r="M149" i="536"/>
  <c r="N149" i="536"/>
  <c r="O149" i="536"/>
  <c r="P149" i="536"/>
  <c r="Q149" i="536"/>
  <c r="R149" i="536"/>
  <c r="H150" i="536"/>
  <c r="I150" i="536"/>
  <c r="J150" i="536"/>
  <c r="K150" i="536"/>
  <c r="L150" i="536"/>
  <c r="M150" i="536"/>
  <c r="N150" i="536"/>
  <c r="O150" i="536"/>
  <c r="P150" i="536"/>
  <c r="Q150" i="536"/>
  <c r="R150" i="536"/>
  <c r="H146" i="537"/>
  <c r="I146" i="537"/>
  <c r="J146" i="537"/>
  <c r="K146" i="537"/>
  <c r="L146" i="537"/>
  <c r="M146" i="537"/>
  <c r="N146" i="537"/>
  <c r="O146" i="537"/>
  <c r="P146" i="537"/>
  <c r="Q146" i="537"/>
  <c r="R146" i="537"/>
  <c r="H147" i="537"/>
  <c r="I147" i="537"/>
  <c r="J147" i="537"/>
  <c r="K147" i="537"/>
  <c r="L147" i="537"/>
  <c r="M147" i="537"/>
  <c r="N147" i="537"/>
  <c r="O147" i="537"/>
  <c r="P147" i="537"/>
  <c r="Q147" i="537"/>
  <c r="R147" i="537"/>
  <c r="H148" i="537"/>
  <c r="I148" i="537"/>
  <c r="J148" i="537"/>
  <c r="K148" i="537"/>
  <c r="L148" i="537"/>
  <c r="M148" i="537"/>
  <c r="N148" i="537"/>
  <c r="O148" i="537"/>
  <c r="P148" i="537"/>
  <c r="Q148" i="537"/>
  <c r="R148" i="537"/>
  <c r="H149" i="537"/>
  <c r="I149" i="537"/>
  <c r="J149" i="537"/>
  <c r="K149" i="537"/>
  <c r="L149" i="537"/>
  <c r="M149" i="537"/>
  <c r="N149" i="537"/>
  <c r="O149" i="537"/>
  <c r="P149" i="537"/>
  <c r="Q149" i="537"/>
  <c r="R149" i="537"/>
  <c r="H150" i="537"/>
  <c r="I150" i="537"/>
  <c r="J150" i="537"/>
  <c r="K150" i="537"/>
  <c r="L150" i="537"/>
  <c r="M150" i="537"/>
  <c r="N150" i="537"/>
  <c r="O150" i="537"/>
  <c r="P150" i="537"/>
  <c r="Q150" i="537"/>
  <c r="R150" i="537"/>
  <c r="H146" i="538"/>
  <c r="I146" i="538"/>
  <c r="J146" i="538"/>
  <c r="K146" i="538"/>
  <c r="L146" i="538"/>
  <c r="M146" i="538"/>
  <c r="N146" i="538"/>
  <c r="O146" i="538"/>
  <c r="P146" i="538"/>
  <c r="Q146" i="538"/>
  <c r="R146" i="538"/>
  <c r="H147" i="538"/>
  <c r="I147" i="538"/>
  <c r="J147" i="538"/>
  <c r="K147" i="538"/>
  <c r="L147" i="538"/>
  <c r="M147" i="538"/>
  <c r="N147" i="538"/>
  <c r="O147" i="538"/>
  <c r="P147" i="538"/>
  <c r="Q147" i="538"/>
  <c r="R147" i="538"/>
  <c r="H148" i="538"/>
  <c r="I148" i="538"/>
  <c r="J148" i="538"/>
  <c r="K148" i="538"/>
  <c r="L148" i="538"/>
  <c r="M148" i="538"/>
  <c r="N148" i="538"/>
  <c r="O148" i="538"/>
  <c r="P148" i="538"/>
  <c r="Q148" i="538"/>
  <c r="R148" i="538"/>
  <c r="H149" i="538"/>
  <c r="I149" i="538"/>
  <c r="J149" i="538"/>
  <c r="K149" i="538"/>
  <c r="L149" i="538"/>
  <c r="M149" i="538"/>
  <c r="N149" i="538"/>
  <c r="O149" i="538"/>
  <c r="P149" i="538"/>
  <c r="Q149" i="538"/>
  <c r="R149" i="538"/>
  <c r="H150" i="538"/>
  <c r="I150" i="538"/>
  <c r="J150" i="538"/>
  <c r="K150" i="538"/>
  <c r="L150" i="538"/>
  <c r="M150" i="538"/>
  <c r="N150" i="538"/>
  <c r="O150" i="538"/>
  <c r="P150" i="538"/>
  <c r="Q150" i="538"/>
  <c r="R150" i="538"/>
  <c r="H146" i="539"/>
  <c r="I146" i="539"/>
  <c r="J146" i="539"/>
  <c r="K146" i="539"/>
  <c r="L146" i="539"/>
  <c r="M146" i="539"/>
  <c r="N146" i="539"/>
  <c r="O146" i="539"/>
  <c r="P146" i="539"/>
  <c r="Q146" i="539"/>
  <c r="R146" i="539"/>
  <c r="H147" i="539"/>
  <c r="I147" i="539"/>
  <c r="J147" i="539"/>
  <c r="K147" i="539"/>
  <c r="L147" i="539"/>
  <c r="M147" i="539"/>
  <c r="N147" i="539"/>
  <c r="O147" i="539"/>
  <c r="P147" i="539"/>
  <c r="Q147" i="539"/>
  <c r="R147" i="539"/>
  <c r="H148" i="539"/>
  <c r="I148" i="539"/>
  <c r="J148" i="539"/>
  <c r="K148" i="539"/>
  <c r="L148" i="539"/>
  <c r="M148" i="539"/>
  <c r="N148" i="539"/>
  <c r="O148" i="539"/>
  <c r="P148" i="539"/>
  <c r="Q148" i="539"/>
  <c r="R148" i="539"/>
  <c r="H149" i="539"/>
  <c r="I149" i="539"/>
  <c r="J149" i="539"/>
  <c r="K149" i="539"/>
  <c r="L149" i="539"/>
  <c r="M149" i="539"/>
  <c r="N149" i="539"/>
  <c r="O149" i="539"/>
  <c r="P149" i="539"/>
  <c r="Q149" i="539"/>
  <c r="R149" i="539"/>
  <c r="H150" i="539"/>
  <c r="I150" i="539"/>
  <c r="J150" i="539"/>
  <c r="K150" i="539"/>
  <c r="L150" i="539"/>
  <c r="M150" i="539"/>
  <c r="N150" i="539"/>
  <c r="O150" i="539"/>
  <c r="P150" i="539"/>
  <c r="Q150" i="539"/>
  <c r="R150" i="539"/>
  <c r="H146" i="540"/>
  <c r="I146" i="540"/>
  <c r="J146" i="540"/>
  <c r="K146" i="540"/>
  <c r="L146" i="540"/>
  <c r="M146" i="540"/>
  <c r="N146" i="540"/>
  <c r="O146" i="540"/>
  <c r="P146" i="540"/>
  <c r="Q146" i="540"/>
  <c r="R146" i="540"/>
  <c r="H147" i="540"/>
  <c r="I147" i="540"/>
  <c r="J147" i="540"/>
  <c r="K147" i="540"/>
  <c r="L147" i="540"/>
  <c r="M147" i="540"/>
  <c r="N147" i="540"/>
  <c r="O147" i="540"/>
  <c r="P147" i="540"/>
  <c r="Q147" i="540"/>
  <c r="R147" i="540"/>
  <c r="H148" i="540"/>
  <c r="I148" i="540"/>
  <c r="J148" i="540"/>
  <c r="K148" i="540"/>
  <c r="L148" i="540"/>
  <c r="M148" i="540"/>
  <c r="N148" i="540"/>
  <c r="O148" i="540"/>
  <c r="P148" i="540"/>
  <c r="Q148" i="540"/>
  <c r="R148" i="540"/>
  <c r="H149" i="540"/>
  <c r="I149" i="540"/>
  <c r="J149" i="540"/>
  <c r="K149" i="540"/>
  <c r="L149" i="540"/>
  <c r="M149" i="540"/>
  <c r="N149" i="540"/>
  <c r="O149" i="540"/>
  <c r="P149" i="540"/>
  <c r="Q149" i="540"/>
  <c r="R149" i="540"/>
  <c r="H150" i="540"/>
  <c r="I150" i="540"/>
  <c r="J150" i="540"/>
  <c r="K150" i="540"/>
  <c r="L150" i="540"/>
  <c r="M150" i="540"/>
  <c r="N150" i="540"/>
  <c r="O150" i="540"/>
  <c r="P150" i="540"/>
  <c r="Q150" i="540"/>
  <c r="R150" i="540"/>
  <c r="H146" i="541"/>
  <c r="I146" i="541"/>
  <c r="J146" i="541"/>
  <c r="K146" i="541"/>
  <c r="L146" i="541"/>
  <c r="M146" i="541"/>
  <c r="N146" i="541"/>
  <c r="O146" i="541"/>
  <c r="P146" i="541"/>
  <c r="Q146" i="541"/>
  <c r="R146" i="541"/>
  <c r="H147" i="541"/>
  <c r="I147" i="541"/>
  <c r="J147" i="541"/>
  <c r="K147" i="541"/>
  <c r="L147" i="541"/>
  <c r="M147" i="541"/>
  <c r="N147" i="541"/>
  <c r="O147" i="541"/>
  <c r="P147" i="541"/>
  <c r="Q147" i="541"/>
  <c r="R147" i="541"/>
  <c r="H148" i="541"/>
  <c r="I148" i="541"/>
  <c r="J148" i="541"/>
  <c r="K148" i="541"/>
  <c r="L148" i="541"/>
  <c r="M148" i="541"/>
  <c r="N148" i="541"/>
  <c r="O148" i="541"/>
  <c r="P148" i="541"/>
  <c r="Q148" i="541"/>
  <c r="R148" i="541"/>
  <c r="H149" i="541"/>
  <c r="I149" i="541"/>
  <c r="J149" i="541"/>
  <c r="K149" i="541"/>
  <c r="L149" i="541"/>
  <c r="M149" i="541"/>
  <c r="N149" i="541"/>
  <c r="O149" i="541"/>
  <c r="P149" i="541"/>
  <c r="Q149" i="541"/>
  <c r="R149" i="541"/>
  <c r="H150" i="541"/>
  <c r="I150" i="541"/>
  <c r="J150" i="541"/>
  <c r="K150" i="541"/>
  <c r="L150" i="541"/>
  <c r="M150" i="541"/>
  <c r="N150" i="541"/>
  <c r="O150" i="541"/>
  <c r="P150" i="541"/>
  <c r="Q150" i="541"/>
  <c r="R150" i="541"/>
  <c r="H146" i="542"/>
  <c r="I146" i="542"/>
  <c r="J146" i="542"/>
  <c r="K146" i="542"/>
  <c r="L146" i="542"/>
  <c r="M146" i="542"/>
  <c r="N146" i="542"/>
  <c r="O146" i="542"/>
  <c r="P146" i="542"/>
  <c r="Q146" i="542"/>
  <c r="R146" i="542"/>
  <c r="H147" i="542"/>
  <c r="I147" i="542"/>
  <c r="J147" i="542"/>
  <c r="K147" i="542"/>
  <c r="L147" i="542"/>
  <c r="M147" i="542"/>
  <c r="N147" i="542"/>
  <c r="O147" i="542"/>
  <c r="P147" i="542"/>
  <c r="Q147" i="542"/>
  <c r="R147" i="542"/>
  <c r="H148" i="542"/>
  <c r="I148" i="542"/>
  <c r="J148" i="542"/>
  <c r="K148" i="542"/>
  <c r="L148" i="542"/>
  <c r="M148" i="542"/>
  <c r="N148" i="542"/>
  <c r="O148" i="542"/>
  <c r="P148" i="542"/>
  <c r="Q148" i="542"/>
  <c r="R148" i="542"/>
  <c r="H149" i="542"/>
  <c r="I149" i="542"/>
  <c r="J149" i="542"/>
  <c r="K149" i="542"/>
  <c r="L149" i="542"/>
  <c r="M149" i="542"/>
  <c r="N149" i="542"/>
  <c r="O149" i="542"/>
  <c r="P149" i="542"/>
  <c r="Q149" i="542"/>
  <c r="R149" i="542"/>
  <c r="H150" i="542"/>
  <c r="I150" i="542"/>
  <c r="J150" i="542"/>
  <c r="K150" i="542"/>
  <c r="L150" i="542"/>
  <c r="M150" i="542"/>
  <c r="N150" i="542"/>
  <c r="O150" i="542"/>
  <c r="P150" i="542"/>
  <c r="Q150" i="542"/>
  <c r="R150" i="542"/>
  <c r="H146" i="543"/>
  <c r="I146" i="543"/>
  <c r="J146" i="543"/>
  <c r="K146" i="543"/>
  <c r="L146" i="543"/>
  <c r="M146" i="543"/>
  <c r="N146" i="543"/>
  <c r="O146" i="543"/>
  <c r="P146" i="543"/>
  <c r="Q146" i="543"/>
  <c r="R146" i="543"/>
  <c r="H147" i="543"/>
  <c r="I147" i="543"/>
  <c r="J147" i="543"/>
  <c r="K147" i="543"/>
  <c r="L147" i="543"/>
  <c r="M147" i="543"/>
  <c r="N147" i="543"/>
  <c r="O147" i="543"/>
  <c r="P147" i="543"/>
  <c r="Q147" i="543"/>
  <c r="R147" i="543"/>
  <c r="H148" i="543"/>
  <c r="I148" i="543"/>
  <c r="J148" i="543"/>
  <c r="K148" i="543"/>
  <c r="L148" i="543"/>
  <c r="M148" i="543"/>
  <c r="N148" i="543"/>
  <c r="O148" i="543"/>
  <c r="P148" i="543"/>
  <c r="Q148" i="543"/>
  <c r="R148" i="543"/>
  <c r="H149" i="543"/>
  <c r="I149" i="543"/>
  <c r="J149" i="543"/>
  <c r="K149" i="543"/>
  <c r="L149" i="543"/>
  <c r="M149" i="543"/>
  <c r="N149" i="543"/>
  <c r="O149" i="543"/>
  <c r="P149" i="543"/>
  <c r="Q149" i="543"/>
  <c r="R149" i="543"/>
  <c r="H150" i="543"/>
  <c r="I150" i="543"/>
  <c r="J150" i="543"/>
  <c r="K150" i="543"/>
  <c r="L150" i="543"/>
  <c r="M150" i="543"/>
  <c r="N150" i="543"/>
  <c r="O150" i="543"/>
  <c r="P150" i="543"/>
  <c r="Q150" i="543"/>
  <c r="R150" i="543"/>
  <c r="H146" i="544"/>
  <c r="I146" i="544"/>
  <c r="J146" i="544"/>
  <c r="K146" i="544"/>
  <c r="L146" i="544"/>
  <c r="M146" i="544"/>
  <c r="N146" i="544"/>
  <c r="O146" i="544"/>
  <c r="P146" i="544"/>
  <c r="Q146" i="544"/>
  <c r="R146" i="544"/>
  <c r="H147" i="544"/>
  <c r="I147" i="544"/>
  <c r="J147" i="544"/>
  <c r="K147" i="544"/>
  <c r="L147" i="544"/>
  <c r="M147" i="544"/>
  <c r="N147" i="544"/>
  <c r="O147" i="544"/>
  <c r="P147" i="544"/>
  <c r="Q147" i="544"/>
  <c r="R147" i="544"/>
  <c r="H148" i="544"/>
  <c r="I148" i="544"/>
  <c r="J148" i="544"/>
  <c r="K148" i="544"/>
  <c r="L148" i="544"/>
  <c r="M148" i="544"/>
  <c r="N148" i="544"/>
  <c r="O148" i="544"/>
  <c r="P148" i="544"/>
  <c r="Q148" i="544"/>
  <c r="R148" i="544"/>
  <c r="H149" i="544"/>
  <c r="I149" i="544"/>
  <c r="J149" i="544"/>
  <c r="K149" i="544"/>
  <c r="L149" i="544"/>
  <c r="M149" i="544"/>
  <c r="N149" i="544"/>
  <c r="O149" i="544"/>
  <c r="P149" i="544"/>
  <c r="Q149" i="544"/>
  <c r="R149" i="544"/>
  <c r="H150" i="544"/>
  <c r="I150" i="544"/>
  <c r="J150" i="544"/>
  <c r="K150" i="544"/>
  <c r="L150" i="544"/>
  <c r="M150" i="544"/>
  <c r="N150" i="544"/>
  <c r="O150" i="544"/>
  <c r="P150" i="544"/>
  <c r="Q150" i="544"/>
  <c r="R150" i="544"/>
  <c r="H146" i="545"/>
  <c r="I146" i="545"/>
  <c r="J146" i="545"/>
  <c r="K146" i="545"/>
  <c r="L146" i="545"/>
  <c r="M146" i="545"/>
  <c r="N146" i="545"/>
  <c r="O146" i="545"/>
  <c r="P146" i="545"/>
  <c r="Q146" i="545"/>
  <c r="R146" i="545"/>
  <c r="H147" i="545"/>
  <c r="I147" i="545"/>
  <c r="J147" i="545"/>
  <c r="K147" i="545"/>
  <c r="L147" i="545"/>
  <c r="M147" i="545"/>
  <c r="N147" i="545"/>
  <c r="O147" i="545"/>
  <c r="P147" i="545"/>
  <c r="Q147" i="545"/>
  <c r="R147" i="545"/>
  <c r="H148" i="545"/>
  <c r="I148" i="545"/>
  <c r="J148" i="545"/>
  <c r="K148" i="545"/>
  <c r="L148" i="545"/>
  <c r="M148" i="545"/>
  <c r="N148" i="545"/>
  <c r="O148" i="545"/>
  <c r="P148" i="545"/>
  <c r="Q148" i="545"/>
  <c r="R148" i="545"/>
  <c r="H149" i="545"/>
  <c r="I149" i="545"/>
  <c r="J149" i="545"/>
  <c r="K149" i="545"/>
  <c r="L149" i="545"/>
  <c r="M149" i="545"/>
  <c r="N149" i="545"/>
  <c r="O149" i="545"/>
  <c r="P149" i="545"/>
  <c r="Q149" i="545"/>
  <c r="R149" i="545"/>
  <c r="H150" i="545"/>
  <c r="I150" i="545"/>
  <c r="J150" i="545"/>
  <c r="K150" i="545"/>
  <c r="L150" i="545"/>
  <c r="M150" i="545"/>
  <c r="N150" i="545"/>
  <c r="O150" i="545"/>
  <c r="P150" i="545"/>
  <c r="Q150" i="545"/>
  <c r="R150" i="545"/>
  <c r="H146" i="531"/>
  <c r="I146" i="531"/>
  <c r="J146" i="531"/>
  <c r="K146" i="531"/>
  <c r="L146" i="531"/>
  <c r="M146" i="531"/>
  <c r="N146" i="531"/>
  <c r="O146" i="531"/>
  <c r="P146" i="531"/>
  <c r="Q146" i="531"/>
  <c r="R146" i="531"/>
  <c r="H147" i="531"/>
  <c r="I147" i="531"/>
  <c r="J147" i="531"/>
  <c r="K147" i="531"/>
  <c r="L147" i="531"/>
  <c r="M147" i="531"/>
  <c r="N147" i="531"/>
  <c r="O147" i="531"/>
  <c r="P147" i="531"/>
  <c r="Q147" i="531"/>
  <c r="R147" i="531"/>
  <c r="H148" i="531"/>
  <c r="I148" i="531"/>
  <c r="J148" i="531"/>
  <c r="K148" i="531"/>
  <c r="L148" i="531"/>
  <c r="M148" i="531"/>
  <c r="N148" i="531"/>
  <c r="O148" i="531"/>
  <c r="P148" i="531"/>
  <c r="Q148" i="531"/>
  <c r="R148" i="531"/>
  <c r="H149" i="531"/>
  <c r="I149" i="531"/>
  <c r="J149" i="531"/>
  <c r="K149" i="531"/>
  <c r="L149" i="531"/>
  <c r="M149" i="531"/>
  <c r="N149" i="531"/>
  <c r="O149" i="531"/>
  <c r="P149" i="531"/>
  <c r="Q149" i="531"/>
  <c r="R149" i="531"/>
  <c r="H150" i="531"/>
  <c r="I150" i="531"/>
  <c r="J150" i="531"/>
  <c r="K150" i="531"/>
  <c r="L150" i="531"/>
  <c r="M150" i="531"/>
  <c r="N150" i="531"/>
  <c r="O150" i="531"/>
  <c r="P150" i="531"/>
  <c r="Q150" i="531"/>
  <c r="R150" i="531"/>
  <c r="H10" i="270"/>
  <c r="H148" i="270"/>
  <c r="I10" i="270"/>
  <c r="I148" i="270"/>
  <c r="J10" i="270"/>
  <c r="J148" i="270"/>
  <c r="K10" i="270"/>
  <c r="K148" i="270"/>
  <c r="L10" i="270"/>
  <c r="L148" i="270"/>
  <c r="M10" i="270"/>
  <c r="M148" i="270"/>
  <c r="N10" i="270"/>
  <c r="N148" i="270"/>
  <c r="O10" i="270"/>
  <c r="O148" i="270"/>
  <c r="P10" i="270"/>
  <c r="P148" i="270"/>
  <c r="Q10" i="270"/>
  <c r="Q148" i="270"/>
  <c r="R10" i="270"/>
  <c r="R148" i="270"/>
  <c r="H11" i="270"/>
  <c r="H149" i="270"/>
  <c r="I11" i="270"/>
  <c r="I149" i="270"/>
  <c r="J11" i="270"/>
  <c r="J149" i="270"/>
  <c r="K11" i="270"/>
  <c r="K149" i="270"/>
  <c r="L11" i="270"/>
  <c r="L149" i="270"/>
  <c r="M11" i="270"/>
  <c r="M149" i="270"/>
  <c r="N11" i="270"/>
  <c r="N149" i="270"/>
  <c r="O11" i="270"/>
  <c r="O149" i="270"/>
  <c r="P11" i="270"/>
  <c r="P149" i="270"/>
  <c r="Q11" i="270"/>
  <c r="Q149" i="270"/>
  <c r="R11" i="270"/>
  <c r="R149" i="270"/>
  <c r="H12" i="270"/>
  <c r="H150" i="270"/>
  <c r="I12" i="270"/>
  <c r="I150" i="270"/>
  <c r="J12" i="270"/>
  <c r="J150" i="270"/>
  <c r="K12" i="270"/>
  <c r="K150" i="270"/>
  <c r="L12" i="270"/>
  <c r="L150" i="270"/>
  <c r="M12" i="270"/>
  <c r="M150" i="270"/>
  <c r="N12" i="270"/>
  <c r="N150" i="270"/>
  <c r="O12" i="270"/>
  <c r="O150" i="270"/>
  <c r="P12" i="270"/>
  <c r="P150" i="270"/>
  <c r="Q12" i="270"/>
  <c r="Q150" i="270"/>
  <c r="R12" i="270"/>
  <c r="R150" i="270"/>
  <c r="H4" i="270"/>
  <c r="H8" i="270"/>
  <c r="H146" i="270"/>
  <c r="I4" i="270"/>
  <c r="I8" i="270"/>
  <c r="I146" i="270"/>
  <c r="J4" i="270"/>
  <c r="J8" i="270"/>
  <c r="J146" i="270"/>
  <c r="K4" i="270"/>
  <c r="K8" i="270"/>
  <c r="K146" i="270"/>
  <c r="L4" i="270"/>
  <c r="L8" i="270"/>
  <c r="L146" i="270"/>
  <c r="M4" i="270"/>
  <c r="M8" i="270"/>
  <c r="M146" i="270"/>
  <c r="N4" i="270"/>
  <c r="N8" i="270"/>
  <c r="N146" i="270"/>
  <c r="O4" i="270"/>
  <c r="O8" i="270"/>
  <c r="O146" i="270"/>
  <c r="P4" i="270"/>
  <c r="P8" i="270"/>
  <c r="P146" i="270"/>
  <c r="Q4" i="270"/>
  <c r="Q8" i="270"/>
  <c r="Q146" i="270"/>
  <c r="R4" i="270"/>
  <c r="R8" i="270"/>
  <c r="R146" i="270"/>
  <c r="H9" i="270"/>
  <c r="H143" i="270"/>
  <c r="H147" i="270"/>
  <c r="I9" i="270"/>
  <c r="I143" i="270"/>
  <c r="I147" i="270"/>
  <c r="J9" i="270"/>
  <c r="J143" i="270"/>
  <c r="J147" i="270"/>
  <c r="K9" i="270"/>
  <c r="K143" i="270"/>
  <c r="K147" i="270"/>
  <c r="L9" i="270"/>
  <c r="L143" i="270"/>
  <c r="L147" i="270"/>
  <c r="M9" i="270"/>
  <c r="M143" i="270"/>
  <c r="M147" i="270"/>
  <c r="N9" i="270"/>
  <c r="N143" i="270"/>
  <c r="N147" i="270"/>
  <c r="O9" i="270"/>
  <c r="O143" i="270"/>
  <c r="O147" i="270"/>
  <c r="P9" i="270"/>
  <c r="P143" i="270"/>
  <c r="P147" i="270"/>
  <c r="Q9" i="270"/>
  <c r="Q143" i="270"/>
  <c r="Q147" i="270"/>
  <c r="R9" i="270"/>
  <c r="R143" i="270"/>
  <c r="R147" i="270"/>
  <c r="H205" i="531"/>
  <c r="I205" i="531"/>
  <c r="J205" i="531"/>
  <c r="K205" i="531"/>
  <c r="L205" i="531"/>
  <c r="M205" i="531"/>
  <c r="N205" i="531"/>
  <c r="O205" i="531"/>
  <c r="P205" i="531"/>
  <c r="Q205" i="531"/>
  <c r="R205" i="531"/>
  <c r="H205" i="532"/>
  <c r="I205" i="532"/>
  <c r="J205" i="532"/>
  <c r="K205" i="532"/>
  <c r="L205" i="532"/>
  <c r="M205" i="532"/>
  <c r="N205" i="532"/>
  <c r="O205" i="532"/>
  <c r="P205" i="532"/>
  <c r="Q205" i="532"/>
  <c r="R205" i="532"/>
  <c r="H205" i="533"/>
  <c r="I205" i="533"/>
  <c r="J205" i="533"/>
  <c r="K205" i="533"/>
  <c r="L205" i="533"/>
  <c r="M205" i="533"/>
  <c r="N205" i="533"/>
  <c r="O205" i="533"/>
  <c r="P205" i="533"/>
  <c r="Q205" i="533"/>
  <c r="R205" i="533"/>
  <c r="H205" i="534"/>
  <c r="I205" i="534"/>
  <c r="J205" i="534"/>
  <c r="K205" i="534"/>
  <c r="L205" i="534"/>
  <c r="M205" i="534"/>
  <c r="N205" i="534"/>
  <c r="O205" i="534"/>
  <c r="P205" i="534"/>
  <c r="Q205" i="534"/>
  <c r="R205" i="534"/>
  <c r="H205" i="535"/>
  <c r="I205" i="535"/>
  <c r="J205" i="535"/>
  <c r="K205" i="535"/>
  <c r="L205" i="535"/>
  <c r="M205" i="535"/>
  <c r="N205" i="535"/>
  <c r="O205" i="535"/>
  <c r="P205" i="535"/>
  <c r="Q205" i="535"/>
  <c r="R205" i="535"/>
  <c r="H205" i="536"/>
  <c r="I205" i="536"/>
  <c r="J205" i="536"/>
  <c r="K205" i="536"/>
  <c r="L205" i="536"/>
  <c r="M205" i="536"/>
  <c r="N205" i="536"/>
  <c r="O205" i="536"/>
  <c r="P205" i="536"/>
  <c r="Q205" i="536"/>
  <c r="R205" i="536"/>
  <c r="H205" i="537"/>
  <c r="I205" i="537"/>
  <c r="J205" i="537"/>
  <c r="K205" i="537"/>
  <c r="L205" i="537"/>
  <c r="M205" i="537"/>
  <c r="N205" i="537"/>
  <c r="O205" i="537"/>
  <c r="P205" i="537"/>
  <c r="Q205" i="537"/>
  <c r="R205" i="537"/>
  <c r="H205" i="538"/>
  <c r="I205" i="538"/>
  <c r="J205" i="538"/>
  <c r="K205" i="538"/>
  <c r="L205" i="538"/>
  <c r="M205" i="538"/>
  <c r="N205" i="538"/>
  <c r="O205" i="538"/>
  <c r="P205" i="538"/>
  <c r="Q205" i="538"/>
  <c r="R205" i="538"/>
  <c r="H205" i="539"/>
  <c r="I205" i="539"/>
  <c r="J205" i="539"/>
  <c r="K205" i="539"/>
  <c r="L205" i="539"/>
  <c r="M205" i="539"/>
  <c r="N205" i="539"/>
  <c r="O205" i="539"/>
  <c r="P205" i="539"/>
  <c r="Q205" i="539"/>
  <c r="R205" i="539"/>
  <c r="H205" i="540"/>
  <c r="I205" i="540"/>
  <c r="J205" i="540"/>
  <c r="K205" i="540"/>
  <c r="L205" i="540"/>
  <c r="M205" i="540"/>
  <c r="N205" i="540"/>
  <c r="O205" i="540"/>
  <c r="P205" i="540"/>
  <c r="Q205" i="540"/>
  <c r="R205" i="540"/>
  <c r="H205" i="541"/>
  <c r="I205" i="541"/>
  <c r="J205" i="541"/>
  <c r="K205" i="541"/>
  <c r="L205" i="541"/>
  <c r="M205" i="541"/>
  <c r="N205" i="541"/>
  <c r="O205" i="541"/>
  <c r="P205" i="541"/>
  <c r="Q205" i="541"/>
  <c r="R205" i="541"/>
  <c r="H205" i="542"/>
  <c r="I205" i="542"/>
  <c r="J205" i="542"/>
  <c r="K205" i="542"/>
  <c r="L205" i="542"/>
  <c r="M205" i="542"/>
  <c r="N205" i="542"/>
  <c r="O205" i="542"/>
  <c r="P205" i="542"/>
  <c r="Q205" i="542"/>
  <c r="R205" i="542"/>
  <c r="H205" i="543"/>
  <c r="I205" i="543"/>
  <c r="J205" i="543"/>
  <c r="K205" i="543"/>
  <c r="L205" i="543"/>
  <c r="M205" i="543"/>
  <c r="N205" i="543"/>
  <c r="O205" i="543"/>
  <c r="P205" i="543"/>
  <c r="Q205" i="543"/>
  <c r="R205" i="543"/>
  <c r="H205" i="544"/>
  <c r="I205" i="544"/>
  <c r="J205" i="544"/>
  <c r="K205" i="544"/>
  <c r="L205" i="544"/>
  <c r="M205" i="544"/>
  <c r="N205" i="544"/>
  <c r="O205" i="544"/>
  <c r="P205" i="544"/>
  <c r="Q205" i="544"/>
  <c r="R205" i="544"/>
  <c r="H205" i="545"/>
  <c r="I205" i="545"/>
  <c r="J205" i="545"/>
  <c r="K205" i="545"/>
  <c r="L205" i="545"/>
  <c r="M205" i="545"/>
  <c r="N205" i="545"/>
  <c r="O205" i="545"/>
  <c r="P205" i="545"/>
  <c r="Q205" i="545"/>
  <c r="R205" i="545"/>
  <c r="H205" i="270"/>
  <c r="I205" i="270"/>
  <c r="J205" i="270"/>
  <c r="K205" i="270"/>
  <c r="L205" i="270"/>
  <c r="M205" i="270"/>
  <c r="N205" i="270"/>
  <c r="O205" i="270"/>
  <c r="P205" i="270"/>
  <c r="Q205" i="270"/>
  <c r="R205" i="270"/>
  <c r="G205" i="531"/>
  <c r="G205" i="532"/>
  <c r="G205" i="533"/>
  <c r="G205" i="534"/>
  <c r="G205" i="535"/>
  <c r="G205" i="536"/>
  <c r="G205" i="537"/>
  <c r="G205" i="538"/>
  <c r="G205" i="539"/>
  <c r="G205" i="540"/>
  <c r="G205" i="541"/>
  <c r="G205" i="542"/>
  <c r="G205" i="543"/>
  <c r="G205" i="544"/>
  <c r="G205" i="545"/>
  <c r="G205" i="270"/>
  <c r="H201" i="531"/>
  <c r="I201" i="531"/>
  <c r="J201" i="531"/>
  <c r="K201" i="531"/>
  <c r="L201" i="531"/>
  <c r="M201" i="531"/>
  <c r="N201" i="531"/>
  <c r="O201" i="531"/>
  <c r="P201" i="531"/>
  <c r="Q201" i="531"/>
  <c r="R201" i="531"/>
  <c r="H201" i="532"/>
  <c r="I201" i="532"/>
  <c r="J201" i="532"/>
  <c r="K201" i="532"/>
  <c r="L201" i="532"/>
  <c r="M201" i="532"/>
  <c r="N201" i="532"/>
  <c r="O201" i="532"/>
  <c r="P201" i="532"/>
  <c r="Q201" i="532"/>
  <c r="R201" i="532"/>
  <c r="H201" i="533"/>
  <c r="I201" i="533"/>
  <c r="J201" i="533"/>
  <c r="K201" i="533"/>
  <c r="L201" i="533"/>
  <c r="M201" i="533"/>
  <c r="N201" i="533"/>
  <c r="O201" i="533"/>
  <c r="P201" i="533"/>
  <c r="Q201" i="533"/>
  <c r="R201" i="533"/>
  <c r="H201" i="534"/>
  <c r="I201" i="534"/>
  <c r="J201" i="534"/>
  <c r="K201" i="534"/>
  <c r="L201" i="534"/>
  <c r="M201" i="534"/>
  <c r="N201" i="534"/>
  <c r="O201" i="534"/>
  <c r="P201" i="534"/>
  <c r="Q201" i="534"/>
  <c r="R201" i="534"/>
  <c r="H201" i="535"/>
  <c r="I201" i="535"/>
  <c r="J201" i="535"/>
  <c r="K201" i="535"/>
  <c r="L201" i="535"/>
  <c r="M201" i="535"/>
  <c r="N201" i="535"/>
  <c r="O201" i="535"/>
  <c r="P201" i="535"/>
  <c r="Q201" i="535"/>
  <c r="R201" i="535"/>
  <c r="H201" i="536"/>
  <c r="I201" i="536"/>
  <c r="J201" i="536"/>
  <c r="K201" i="536"/>
  <c r="L201" i="536"/>
  <c r="M201" i="536"/>
  <c r="N201" i="536"/>
  <c r="O201" i="536"/>
  <c r="P201" i="536"/>
  <c r="Q201" i="536"/>
  <c r="R201" i="536"/>
  <c r="H201" i="537"/>
  <c r="I201" i="537"/>
  <c r="J201" i="537"/>
  <c r="K201" i="537"/>
  <c r="L201" i="537"/>
  <c r="M201" i="537"/>
  <c r="N201" i="537"/>
  <c r="O201" i="537"/>
  <c r="P201" i="537"/>
  <c r="Q201" i="537"/>
  <c r="R201" i="537"/>
  <c r="H201" i="538"/>
  <c r="I201" i="538"/>
  <c r="J201" i="538"/>
  <c r="K201" i="538"/>
  <c r="L201" i="538"/>
  <c r="M201" i="538"/>
  <c r="N201" i="538"/>
  <c r="O201" i="538"/>
  <c r="P201" i="538"/>
  <c r="Q201" i="538"/>
  <c r="R201" i="538"/>
  <c r="H201" i="539"/>
  <c r="I201" i="539"/>
  <c r="J201" i="539"/>
  <c r="K201" i="539"/>
  <c r="L201" i="539"/>
  <c r="M201" i="539"/>
  <c r="N201" i="539"/>
  <c r="O201" i="539"/>
  <c r="P201" i="539"/>
  <c r="Q201" i="539"/>
  <c r="R201" i="539"/>
  <c r="H201" i="540"/>
  <c r="I201" i="540"/>
  <c r="J201" i="540"/>
  <c r="K201" i="540"/>
  <c r="L201" i="540"/>
  <c r="M201" i="540"/>
  <c r="N201" i="540"/>
  <c r="O201" i="540"/>
  <c r="P201" i="540"/>
  <c r="Q201" i="540"/>
  <c r="R201" i="540"/>
  <c r="H201" i="541"/>
  <c r="I201" i="541"/>
  <c r="J201" i="541"/>
  <c r="K201" i="541"/>
  <c r="L201" i="541"/>
  <c r="M201" i="541"/>
  <c r="N201" i="541"/>
  <c r="O201" i="541"/>
  <c r="P201" i="541"/>
  <c r="Q201" i="541"/>
  <c r="R201" i="541"/>
  <c r="H201" i="542"/>
  <c r="I201" i="542"/>
  <c r="J201" i="542"/>
  <c r="K201" i="542"/>
  <c r="L201" i="542"/>
  <c r="M201" i="542"/>
  <c r="N201" i="542"/>
  <c r="O201" i="542"/>
  <c r="P201" i="542"/>
  <c r="Q201" i="542"/>
  <c r="R201" i="542"/>
  <c r="H201" i="543"/>
  <c r="I201" i="543"/>
  <c r="J201" i="543"/>
  <c r="K201" i="543"/>
  <c r="L201" i="543"/>
  <c r="M201" i="543"/>
  <c r="N201" i="543"/>
  <c r="O201" i="543"/>
  <c r="P201" i="543"/>
  <c r="Q201" i="543"/>
  <c r="R201" i="543"/>
  <c r="H201" i="544"/>
  <c r="I201" i="544"/>
  <c r="J201" i="544"/>
  <c r="K201" i="544"/>
  <c r="L201" i="544"/>
  <c r="M201" i="544"/>
  <c r="N201" i="544"/>
  <c r="O201" i="544"/>
  <c r="P201" i="544"/>
  <c r="Q201" i="544"/>
  <c r="R201" i="544"/>
  <c r="H201" i="545"/>
  <c r="I201" i="545"/>
  <c r="J201" i="545"/>
  <c r="K201" i="545"/>
  <c r="L201" i="545"/>
  <c r="M201" i="545"/>
  <c r="N201" i="545"/>
  <c r="O201" i="545"/>
  <c r="P201" i="545"/>
  <c r="Q201" i="545"/>
  <c r="R201" i="545"/>
  <c r="H201" i="270"/>
  <c r="I201" i="270"/>
  <c r="J201" i="270"/>
  <c r="K201" i="270"/>
  <c r="L201" i="270"/>
  <c r="M201" i="270"/>
  <c r="N201" i="270"/>
  <c r="O201" i="270"/>
  <c r="P201" i="270"/>
  <c r="Q201" i="270"/>
  <c r="R201" i="270"/>
  <c r="G201" i="531"/>
  <c r="G201" i="532"/>
  <c r="G201" i="533"/>
  <c r="G201" i="534"/>
  <c r="G201" i="535"/>
  <c r="G201" i="536"/>
  <c r="G201" i="537"/>
  <c r="G201" i="538"/>
  <c r="G201" i="539"/>
  <c r="G201" i="540"/>
  <c r="G201" i="541"/>
  <c r="G201" i="542"/>
  <c r="G201" i="543"/>
  <c r="G201" i="544"/>
  <c r="G201" i="545"/>
  <c r="G201" i="270"/>
  <c r="H200" i="531"/>
  <c r="I200" i="531"/>
  <c r="J200" i="531"/>
  <c r="K200" i="531"/>
  <c r="L200" i="531"/>
  <c r="M200" i="531"/>
  <c r="N200" i="531"/>
  <c r="O200" i="531"/>
  <c r="P200" i="531"/>
  <c r="Q200" i="531"/>
  <c r="R200" i="531"/>
  <c r="H200" i="532"/>
  <c r="I200" i="532"/>
  <c r="J200" i="532"/>
  <c r="K200" i="532"/>
  <c r="L200" i="532"/>
  <c r="M200" i="532"/>
  <c r="N200" i="532"/>
  <c r="O200" i="532"/>
  <c r="P200" i="532"/>
  <c r="Q200" i="532"/>
  <c r="R200" i="532"/>
  <c r="H200" i="533"/>
  <c r="I200" i="533"/>
  <c r="J200" i="533"/>
  <c r="K200" i="533"/>
  <c r="L200" i="533"/>
  <c r="M200" i="533"/>
  <c r="N200" i="533"/>
  <c r="O200" i="533"/>
  <c r="P200" i="533"/>
  <c r="Q200" i="533"/>
  <c r="R200" i="533"/>
  <c r="H200" i="534"/>
  <c r="I200" i="534"/>
  <c r="J200" i="534"/>
  <c r="K200" i="534"/>
  <c r="L200" i="534"/>
  <c r="M200" i="534"/>
  <c r="N200" i="534"/>
  <c r="O200" i="534"/>
  <c r="P200" i="534"/>
  <c r="Q200" i="534"/>
  <c r="R200" i="534"/>
  <c r="H200" i="535"/>
  <c r="I200" i="535"/>
  <c r="J200" i="535"/>
  <c r="K200" i="535"/>
  <c r="L200" i="535"/>
  <c r="M200" i="535"/>
  <c r="N200" i="535"/>
  <c r="O200" i="535"/>
  <c r="P200" i="535"/>
  <c r="Q200" i="535"/>
  <c r="R200" i="535"/>
  <c r="H200" i="536"/>
  <c r="I200" i="536"/>
  <c r="J200" i="536"/>
  <c r="K200" i="536"/>
  <c r="L200" i="536"/>
  <c r="M200" i="536"/>
  <c r="N200" i="536"/>
  <c r="O200" i="536"/>
  <c r="P200" i="536"/>
  <c r="Q200" i="536"/>
  <c r="R200" i="536"/>
  <c r="H200" i="537"/>
  <c r="I200" i="537"/>
  <c r="J200" i="537"/>
  <c r="K200" i="537"/>
  <c r="L200" i="537"/>
  <c r="M200" i="537"/>
  <c r="N200" i="537"/>
  <c r="O200" i="537"/>
  <c r="P200" i="537"/>
  <c r="Q200" i="537"/>
  <c r="R200" i="537"/>
  <c r="H200" i="538"/>
  <c r="I200" i="538"/>
  <c r="J200" i="538"/>
  <c r="K200" i="538"/>
  <c r="L200" i="538"/>
  <c r="M200" i="538"/>
  <c r="N200" i="538"/>
  <c r="O200" i="538"/>
  <c r="P200" i="538"/>
  <c r="Q200" i="538"/>
  <c r="R200" i="538"/>
  <c r="H200" i="539"/>
  <c r="I200" i="539"/>
  <c r="J200" i="539"/>
  <c r="K200" i="539"/>
  <c r="L200" i="539"/>
  <c r="M200" i="539"/>
  <c r="N200" i="539"/>
  <c r="O200" i="539"/>
  <c r="P200" i="539"/>
  <c r="Q200" i="539"/>
  <c r="R200" i="539"/>
  <c r="H200" i="540"/>
  <c r="I200" i="540"/>
  <c r="J200" i="540"/>
  <c r="K200" i="540"/>
  <c r="L200" i="540"/>
  <c r="M200" i="540"/>
  <c r="N200" i="540"/>
  <c r="O200" i="540"/>
  <c r="P200" i="540"/>
  <c r="Q200" i="540"/>
  <c r="R200" i="540"/>
  <c r="H200" i="541"/>
  <c r="I200" i="541"/>
  <c r="J200" i="541"/>
  <c r="K200" i="541"/>
  <c r="L200" i="541"/>
  <c r="M200" i="541"/>
  <c r="N200" i="541"/>
  <c r="O200" i="541"/>
  <c r="P200" i="541"/>
  <c r="Q200" i="541"/>
  <c r="R200" i="541"/>
  <c r="H200" i="542"/>
  <c r="I200" i="542"/>
  <c r="J200" i="542"/>
  <c r="K200" i="542"/>
  <c r="L200" i="542"/>
  <c r="M200" i="542"/>
  <c r="N200" i="542"/>
  <c r="O200" i="542"/>
  <c r="P200" i="542"/>
  <c r="Q200" i="542"/>
  <c r="R200" i="542"/>
  <c r="H200" i="543"/>
  <c r="I200" i="543"/>
  <c r="J200" i="543"/>
  <c r="K200" i="543"/>
  <c r="L200" i="543"/>
  <c r="M200" i="543"/>
  <c r="N200" i="543"/>
  <c r="O200" i="543"/>
  <c r="P200" i="543"/>
  <c r="Q200" i="543"/>
  <c r="R200" i="543"/>
  <c r="H200" i="544"/>
  <c r="I200" i="544"/>
  <c r="J200" i="544"/>
  <c r="K200" i="544"/>
  <c r="L200" i="544"/>
  <c r="M200" i="544"/>
  <c r="N200" i="544"/>
  <c r="O200" i="544"/>
  <c r="P200" i="544"/>
  <c r="Q200" i="544"/>
  <c r="R200" i="544"/>
  <c r="H200" i="545"/>
  <c r="I200" i="545"/>
  <c r="J200" i="545"/>
  <c r="K200" i="545"/>
  <c r="L200" i="545"/>
  <c r="M200" i="545"/>
  <c r="N200" i="545"/>
  <c r="O200" i="545"/>
  <c r="P200" i="545"/>
  <c r="Q200" i="545"/>
  <c r="R200" i="545"/>
  <c r="H200" i="270"/>
  <c r="I200" i="270"/>
  <c r="J200" i="270"/>
  <c r="K200" i="270"/>
  <c r="L200" i="270"/>
  <c r="M200" i="270"/>
  <c r="N200" i="270"/>
  <c r="O200" i="270"/>
  <c r="P200" i="270"/>
  <c r="Q200" i="270"/>
  <c r="R200" i="270"/>
  <c r="G200" i="531"/>
  <c r="G200" i="532"/>
  <c r="G200" i="533"/>
  <c r="G200" i="534"/>
  <c r="G200" i="535"/>
  <c r="G200" i="536"/>
  <c r="G200" i="537"/>
  <c r="G200" i="538"/>
  <c r="G200" i="539"/>
  <c r="G200" i="540"/>
  <c r="G200" i="541"/>
  <c r="G200" i="542"/>
  <c r="G200" i="543"/>
  <c r="G200" i="544"/>
  <c r="G200" i="545"/>
  <c r="G200" i="270"/>
  <c r="H199" i="531"/>
  <c r="I199" i="531"/>
  <c r="J199" i="531"/>
  <c r="K199" i="531"/>
  <c r="L199" i="531"/>
  <c r="M199" i="531"/>
  <c r="N199" i="531"/>
  <c r="O199" i="531"/>
  <c r="P199" i="531"/>
  <c r="Q199" i="531"/>
  <c r="R199" i="531"/>
  <c r="H199" i="532"/>
  <c r="I199" i="532"/>
  <c r="J199" i="532"/>
  <c r="K199" i="532"/>
  <c r="L199" i="532"/>
  <c r="M199" i="532"/>
  <c r="N199" i="532"/>
  <c r="O199" i="532"/>
  <c r="P199" i="532"/>
  <c r="Q199" i="532"/>
  <c r="R199" i="532"/>
  <c r="H199" i="533"/>
  <c r="I199" i="533"/>
  <c r="J199" i="533"/>
  <c r="K199" i="533"/>
  <c r="L199" i="533"/>
  <c r="M199" i="533"/>
  <c r="N199" i="533"/>
  <c r="O199" i="533"/>
  <c r="P199" i="533"/>
  <c r="Q199" i="533"/>
  <c r="R199" i="533"/>
  <c r="H199" i="534"/>
  <c r="I199" i="534"/>
  <c r="J199" i="534"/>
  <c r="K199" i="534"/>
  <c r="L199" i="534"/>
  <c r="M199" i="534"/>
  <c r="N199" i="534"/>
  <c r="O199" i="534"/>
  <c r="P199" i="534"/>
  <c r="Q199" i="534"/>
  <c r="R199" i="534"/>
  <c r="H199" i="535"/>
  <c r="I199" i="535"/>
  <c r="J199" i="535"/>
  <c r="K199" i="535"/>
  <c r="L199" i="535"/>
  <c r="M199" i="535"/>
  <c r="N199" i="535"/>
  <c r="O199" i="535"/>
  <c r="P199" i="535"/>
  <c r="Q199" i="535"/>
  <c r="R199" i="535"/>
  <c r="H199" i="536"/>
  <c r="I199" i="536"/>
  <c r="J199" i="536"/>
  <c r="K199" i="536"/>
  <c r="L199" i="536"/>
  <c r="M199" i="536"/>
  <c r="N199" i="536"/>
  <c r="O199" i="536"/>
  <c r="P199" i="536"/>
  <c r="Q199" i="536"/>
  <c r="R199" i="536"/>
  <c r="H199" i="537"/>
  <c r="I199" i="537"/>
  <c r="J199" i="537"/>
  <c r="K199" i="537"/>
  <c r="L199" i="537"/>
  <c r="M199" i="537"/>
  <c r="N199" i="537"/>
  <c r="O199" i="537"/>
  <c r="P199" i="537"/>
  <c r="Q199" i="537"/>
  <c r="R199" i="537"/>
  <c r="H199" i="538"/>
  <c r="I199" i="538"/>
  <c r="J199" i="538"/>
  <c r="K199" i="538"/>
  <c r="L199" i="538"/>
  <c r="M199" i="538"/>
  <c r="N199" i="538"/>
  <c r="O199" i="538"/>
  <c r="P199" i="538"/>
  <c r="Q199" i="538"/>
  <c r="R199" i="538"/>
  <c r="H199" i="539"/>
  <c r="I199" i="539"/>
  <c r="J199" i="539"/>
  <c r="K199" i="539"/>
  <c r="L199" i="539"/>
  <c r="M199" i="539"/>
  <c r="N199" i="539"/>
  <c r="O199" i="539"/>
  <c r="P199" i="539"/>
  <c r="Q199" i="539"/>
  <c r="R199" i="539"/>
  <c r="H199" i="540"/>
  <c r="I199" i="540"/>
  <c r="J199" i="540"/>
  <c r="K199" i="540"/>
  <c r="L199" i="540"/>
  <c r="M199" i="540"/>
  <c r="N199" i="540"/>
  <c r="O199" i="540"/>
  <c r="P199" i="540"/>
  <c r="Q199" i="540"/>
  <c r="R199" i="540"/>
  <c r="H199" i="541"/>
  <c r="I199" i="541"/>
  <c r="J199" i="541"/>
  <c r="K199" i="541"/>
  <c r="L199" i="541"/>
  <c r="M199" i="541"/>
  <c r="N199" i="541"/>
  <c r="O199" i="541"/>
  <c r="P199" i="541"/>
  <c r="Q199" i="541"/>
  <c r="R199" i="541"/>
  <c r="H199" i="542"/>
  <c r="I199" i="542"/>
  <c r="J199" i="542"/>
  <c r="K199" i="542"/>
  <c r="L199" i="542"/>
  <c r="M199" i="542"/>
  <c r="N199" i="542"/>
  <c r="O199" i="542"/>
  <c r="P199" i="542"/>
  <c r="Q199" i="542"/>
  <c r="R199" i="542"/>
  <c r="H199" i="543"/>
  <c r="I199" i="543"/>
  <c r="J199" i="543"/>
  <c r="K199" i="543"/>
  <c r="L199" i="543"/>
  <c r="M199" i="543"/>
  <c r="N199" i="543"/>
  <c r="O199" i="543"/>
  <c r="P199" i="543"/>
  <c r="Q199" i="543"/>
  <c r="R199" i="543"/>
  <c r="H199" i="544"/>
  <c r="I199" i="544"/>
  <c r="J199" i="544"/>
  <c r="K199" i="544"/>
  <c r="L199" i="544"/>
  <c r="M199" i="544"/>
  <c r="N199" i="544"/>
  <c r="O199" i="544"/>
  <c r="P199" i="544"/>
  <c r="Q199" i="544"/>
  <c r="R199" i="544"/>
  <c r="H199" i="545"/>
  <c r="I199" i="545"/>
  <c r="J199" i="545"/>
  <c r="K199" i="545"/>
  <c r="L199" i="545"/>
  <c r="M199" i="545"/>
  <c r="N199" i="545"/>
  <c r="O199" i="545"/>
  <c r="P199" i="545"/>
  <c r="Q199" i="545"/>
  <c r="R199" i="545"/>
  <c r="H199" i="270"/>
  <c r="I199" i="270"/>
  <c r="J199" i="270"/>
  <c r="K199" i="270"/>
  <c r="L199" i="270"/>
  <c r="M199" i="270"/>
  <c r="N199" i="270"/>
  <c r="O199" i="270"/>
  <c r="P199" i="270"/>
  <c r="Q199" i="270"/>
  <c r="R199" i="270"/>
  <c r="G199" i="531"/>
  <c r="G199" i="532"/>
  <c r="G199" i="533"/>
  <c r="G199" i="534"/>
  <c r="G199" i="535"/>
  <c r="G199" i="536"/>
  <c r="G199" i="537"/>
  <c r="G199" i="538"/>
  <c r="G199" i="539"/>
  <c r="G199" i="540"/>
  <c r="G199" i="541"/>
  <c r="G199" i="542"/>
  <c r="G199" i="543"/>
  <c r="G199" i="544"/>
  <c r="G199" i="545"/>
  <c r="G199" i="270"/>
  <c r="H198" i="531"/>
  <c r="I198" i="531"/>
  <c r="J198" i="531"/>
  <c r="K198" i="531"/>
  <c r="L198" i="531"/>
  <c r="M198" i="531"/>
  <c r="N198" i="531"/>
  <c r="O198" i="531"/>
  <c r="P198" i="531"/>
  <c r="Q198" i="531"/>
  <c r="R198" i="531"/>
  <c r="H198" i="532"/>
  <c r="I198" i="532"/>
  <c r="J198" i="532"/>
  <c r="K198" i="532"/>
  <c r="L198" i="532"/>
  <c r="M198" i="532"/>
  <c r="N198" i="532"/>
  <c r="O198" i="532"/>
  <c r="P198" i="532"/>
  <c r="Q198" i="532"/>
  <c r="R198" i="532"/>
  <c r="H198" i="533"/>
  <c r="I198" i="533"/>
  <c r="J198" i="533"/>
  <c r="K198" i="533"/>
  <c r="L198" i="533"/>
  <c r="M198" i="533"/>
  <c r="N198" i="533"/>
  <c r="O198" i="533"/>
  <c r="P198" i="533"/>
  <c r="Q198" i="533"/>
  <c r="R198" i="533"/>
  <c r="H198" i="534"/>
  <c r="I198" i="534"/>
  <c r="J198" i="534"/>
  <c r="K198" i="534"/>
  <c r="L198" i="534"/>
  <c r="M198" i="534"/>
  <c r="N198" i="534"/>
  <c r="O198" i="534"/>
  <c r="P198" i="534"/>
  <c r="Q198" i="534"/>
  <c r="R198" i="534"/>
  <c r="H198" i="535"/>
  <c r="I198" i="535"/>
  <c r="J198" i="535"/>
  <c r="K198" i="535"/>
  <c r="L198" i="535"/>
  <c r="M198" i="535"/>
  <c r="N198" i="535"/>
  <c r="O198" i="535"/>
  <c r="P198" i="535"/>
  <c r="Q198" i="535"/>
  <c r="R198" i="535"/>
  <c r="H198" i="536"/>
  <c r="I198" i="536"/>
  <c r="J198" i="536"/>
  <c r="K198" i="536"/>
  <c r="L198" i="536"/>
  <c r="M198" i="536"/>
  <c r="N198" i="536"/>
  <c r="O198" i="536"/>
  <c r="P198" i="536"/>
  <c r="Q198" i="536"/>
  <c r="R198" i="536"/>
  <c r="H198" i="537"/>
  <c r="I198" i="537"/>
  <c r="J198" i="537"/>
  <c r="K198" i="537"/>
  <c r="L198" i="537"/>
  <c r="M198" i="537"/>
  <c r="N198" i="537"/>
  <c r="O198" i="537"/>
  <c r="P198" i="537"/>
  <c r="Q198" i="537"/>
  <c r="R198" i="537"/>
  <c r="H198" i="538"/>
  <c r="I198" i="538"/>
  <c r="J198" i="538"/>
  <c r="K198" i="538"/>
  <c r="L198" i="538"/>
  <c r="M198" i="538"/>
  <c r="N198" i="538"/>
  <c r="O198" i="538"/>
  <c r="P198" i="538"/>
  <c r="Q198" i="538"/>
  <c r="R198" i="538"/>
  <c r="H198" i="539"/>
  <c r="I198" i="539"/>
  <c r="J198" i="539"/>
  <c r="K198" i="539"/>
  <c r="L198" i="539"/>
  <c r="M198" i="539"/>
  <c r="N198" i="539"/>
  <c r="O198" i="539"/>
  <c r="P198" i="539"/>
  <c r="Q198" i="539"/>
  <c r="R198" i="539"/>
  <c r="H198" i="540"/>
  <c r="I198" i="540"/>
  <c r="J198" i="540"/>
  <c r="K198" i="540"/>
  <c r="L198" i="540"/>
  <c r="M198" i="540"/>
  <c r="N198" i="540"/>
  <c r="O198" i="540"/>
  <c r="P198" i="540"/>
  <c r="Q198" i="540"/>
  <c r="R198" i="540"/>
  <c r="H198" i="541"/>
  <c r="I198" i="541"/>
  <c r="J198" i="541"/>
  <c r="K198" i="541"/>
  <c r="L198" i="541"/>
  <c r="M198" i="541"/>
  <c r="N198" i="541"/>
  <c r="O198" i="541"/>
  <c r="P198" i="541"/>
  <c r="Q198" i="541"/>
  <c r="R198" i="541"/>
  <c r="H198" i="542"/>
  <c r="I198" i="542"/>
  <c r="J198" i="542"/>
  <c r="K198" i="542"/>
  <c r="L198" i="542"/>
  <c r="M198" i="542"/>
  <c r="N198" i="542"/>
  <c r="O198" i="542"/>
  <c r="P198" i="542"/>
  <c r="Q198" i="542"/>
  <c r="R198" i="542"/>
  <c r="H198" i="543"/>
  <c r="I198" i="543"/>
  <c r="J198" i="543"/>
  <c r="K198" i="543"/>
  <c r="L198" i="543"/>
  <c r="M198" i="543"/>
  <c r="N198" i="543"/>
  <c r="O198" i="543"/>
  <c r="P198" i="543"/>
  <c r="Q198" i="543"/>
  <c r="R198" i="543"/>
  <c r="H198" i="544"/>
  <c r="I198" i="544"/>
  <c r="J198" i="544"/>
  <c r="K198" i="544"/>
  <c r="L198" i="544"/>
  <c r="M198" i="544"/>
  <c r="N198" i="544"/>
  <c r="O198" i="544"/>
  <c r="P198" i="544"/>
  <c r="Q198" i="544"/>
  <c r="R198" i="544"/>
  <c r="H198" i="545"/>
  <c r="I198" i="545"/>
  <c r="J198" i="545"/>
  <c r="K198" i="545"/>
  <c r="L198" i="545"/>
  <c r="M198" i="545"/>
  <c r="N198" i="545"/>
  <c r="O198" i="545"/>
  <c r="P198" i="545"/>
  <c r="Q198" i="545"/>
  <c r="R198" i="545"/>
  <c r="H198" i="270"/>
  <c r="I198" i="270"/>
  <c r="J198" i="270"/>
  <c r="K198" i="270"/>
  <c r="L198" i="270"/>
  <c r="M198" i="270"/>
  <c r="N198" i="270"/>
  <c r="O198" i="270"/>
  <c r="P198" i="270"/>
  <c r="Q198" i="270"/>
  <c r="R198" i="270"/>
  <c r="G198" i="531"/>
  <c r="G198" i="532"/>
  <c r="G198" i="533"/>
  <c r="G198" i="534"/>
  <c r="G198" i="535"/>
  <c r="G198" i="536"/>
  <c r="G198" i="537"/>
  <c r="G198" i="538"/>
  <c r="G198" i="539"/>
  <c r="G198" i="540"/>
  <c r="G198" i="541"/>
  <c r="G198" i="542"/>
  <c r="G198" i="543"/>
  <c r="G198" i="544"/>
  <c r="G198" i="545"/>
  <c r="G198" i="270"/>
  <c r="H195" i="531"/>
  <c r="I195" i="531"/>
  <c r="J195" i="531"/>
  <c r="K195" i="531"/>
  <c r="L195" i="531"/>
  <c r="M195" i="531"/>
  <c r="N195" i="531"/>
  <c r="O195" i="531"/>
  <c r="P195" i="531"/>
  <c r="Q195" i="531"/>
  <c r="R195" i="531"/>
  <c r="H195" i="532"/>
  <c r="I195" i="532"/>
  <c r="J195" i="532"/>
  <c r="K195" i="532"/>
  <c r="L195" i="532"/>
  <c r="M195" i="532"/>
  <c r="N195" i="532"/>
  <c r="O195" i="532"/>
  <c r="P195" i="532"/>
  <c r="Q195" i="532"/>
  <c r="R195" i="532"/>
  <c r="H195" i="533"/>
  <c r="I195" i="533"/>
  <c r="J195" i="533"/>
  <c r="K195" i="533"/>
  <c r="L195" i="533"/>
  <c r="M195" i="533"/>
  <c r="N195" i="533"/>
  <c r="O195" i="533"/>
  <c r="P195" i="533"/>
  <c r="Q195" i="533"/>
  <c r="R195" i="533"/>
  <c r="H195" i="534"/>
  <c r="I195" i="534"/>
  <c r="J195" i="534"/>
  <c r="K195" i="534"/>
  <c r="L195" i="534"/>
  <c r="M195" i="534"/>
  <c r="N195" i="534"/>
  <c r="O195" i="534"/>
  <c r="P195" i="534"/>
  <c r="Q195" i="534"/>
  <c r="R195" i="534"/>
  <c r="H195" i="535"/>
  <c r="I195" i="535"/>
  <c r="J195" i="535"/>
  <c r="K195" i="535"/>
  <c r="L195" i="535"/>
  <c r="M195" i="535"/>
  <c r="N195" i="535"/>
  <c r="O195" i="535"/>
  <c r="P195" i="535"/>
  <c r="Q195" i="535"/>
  <c r="R195" i="535"/>
  <c r="H195" i="536"/>
  <c r="I195" i="536"/>
  <c r="J195" i="536"/>
  <c r="K195" i="536"/>
  <c r="L195" i="536"/>
  <c r="M195" i="536"/>
  <c r="N195" i="536"/>
  <c r="O195" i="536"/>
  <c r="P195" i="536"/>
  <c r="Q195" i="536"/>
  <c r="R195" i="536"/>
  <c r="H195" i="537"/>
  <c r="I195" i="537"/>
  <c r="J195" i="537"/>
  <c r="K195" i="537"/>
  <c r="L195" i="537"/>
  <c r="M195" i="537"/>
  <c r="N195" i="537"/>
  <c r="O195" i="537"/>
  <c r="P195" i="537"/>
  <c r="Q195" i="537"/>
  <c r="R195" i="537"/>
  <c r="H195" i="538"/>
  <c r="I195" i="538"/>
  <c r="J195" i="538"/>
  <c r="K195" i="538"/>
  <c r="L195" i="538"/>
  <c r="M195" i="538"/>
  <c r="N195" i="538"/>
  <c r="O195" i="538"/>
  <c r="P195" i="538"/>
  <c r="Q195" i="538"/>
  <c r="R195" i="538"/>
  <c r="H195" i="539"/>
  <c r="I195" i="539"/>
  <c r="J195" i="539"/>
  <c r="K195" i="539"/>
  <c r="L195" i="539"/>
  <c r="M195" i="539"/>
  <c r="N195" i="539"/>
  <c r="O195" i="539"/>
  <c r="P195" i="539"/>
  <c r="Q195" i="539"/>
  <c r="R195" i="539"/>
  <c r="H195" i="540"/>
  <c r="I195" i="540"/>
  <c r="J195" i="540"/>
  <c r="K195" i="540"/>
  <c r="L195" i="540"/>
  <c r="M195" i="540"/>
  <c r="N195" i="540"/>
  <c r="O195" i="540"/>
  <c r="P195" i="540"/>
  <c r="Q195" i="540"/>
  <c r="R195" i="540"/>
  <c r="H195" i="541"/>
  <c r="I195" i="541"/>
  <c r="J195" i="541"/>
  <c r="K195" i="541"/>
  <c r="L195" i="541"/>
  <c r="M195" i="541"/>
  <c r="N195" i="541"/>
  <c r="O195" i="541"/>
  <c r="P195" i="541"/>
  <c r="Q195" i="541"/>
  <c r="R195" i="541"/>
  <c r="H195" i="542"/>
  <c r="I195" i="542"/>
  <c r="J195" i="542"/>
  <c r="K195" i="542"/>
  <c r="L195" i="542"/>
  <c r="M195" i="542"/>
  <c r="N195" i="542"/>
  <c r="O195" i="542"/>
  <c r="P195" i="542"/>
  <c r="Q195" i="542"/>
  <c r="R195" i="542"/>
  <c r="H195" i="543"/>
  <c r="I195" i="543"/>
  <c r="J195" i="543"/>
  <c r="K195" i="543"/>
  <c r="L195" i="543"/>
  <c r="M195" i="543"/>
  <c r="N195" i="543"/>
  <c r="O195" i="543"/>
  <c r="P195" i="543"/>
  <c r="Q195" i="543"/>
  <c r="R195" i="543"/>
  <c r="H195" i="544"/>
  <c r="I195" i="544"/>
  <c r="J195" i="544"/>
  <c r="K195" i="544"/>
  <c r="L195" i="544"/>
  <c r="M195" i="544"/>
  <c r="N195" i="544"/>
  <c r="O195" i="544"/>
  <c r="P195" i="544"/>
  <c r="Q195" i="544"/>
  <c r="R195" i="544"/>
  <c r="H195" i="545"/>
  <c r="I195" i="545"/>
  <c r="J195" i="545"/>
  <c r="K195" i="545"/>
  <c r="L195" i="545"/>
  <c r="M195" i="545"/>
  <c r="N195" i="545"/>
  <c r="O195" i="545"/>
  <c r="P195" i="545"/>
  <c r="Q195" i="545"/>
  <c r="R195" i="545"/>
  <c r="H26" i="270"/>
  <c r="H195" i="270"/>
  <c r="I26" i="270"/>
  <c r="I195" i="270"/>
  <c r="J26" i="270"/>
  <c r="J195" i="270"/>
  <c r="K26" i="270"/>
  <c r="K195" i="270"/>
  <c r="L26" i="270"/>
  <c r="L195" i="270"/>
  <c r="M26" i="270"/>
  <c r="M195" i="270"/>
  <c r="N26" i="270"/>
  <c r="N195" i="270"/>
  <c r="O26" i="270"/>
  <c r="O195" i="270"/>
  <c r="P26" i="270"/>
  <c r="P195" i="270"/>
  <c r="Q26" i="270"/>
  <c r="Q195" i="270"/>
  <c r="R26" i="270"/>
  <c r="R195" i="270"/>
  <c r="G195" i="531"/>
  <c r="G195" i="532"/>
  <c r="G195" i="533"/>
  <c r="G195" i="534"/>
  <c r="G195" i="535"/>
  <c r="G195" i="536"/>
  <c r="G195" i="537"/>
  <c r="G195" i="538"/>
  <c r="G195" i="539"/>
  <c r="G195" i="540"/>
  <c r="G195" i="541"/>
  <c r="G195" i="542"/>
  <c r="G195" i="543"/>
  <c r="G195" i="544"/>
  <c r="G195" i="545"/>
  <c r="G195" i="270"/>
  <c r="H194" i="531"/>
  <c r="I194" i="531"/>
  <c r="J194" i="531"/>
  <c r="K194" i="531"/>
  <c r="L194" i="531"/>
  <c r="M194" i="531"/>
  <c r="N194" i="531"/>
  <c r="O194" i="531"/>
  <c r="P194" i="531"/>
  <c r="Q194" i="531"/>
  <c r="R194" i="531"/>
  <c r="H194" i="532"/>
  <c r="I194" i="532"/>
  <c r="J194" i="532"/>
  <c r="K194" i="532"/>
  <c r="L194" i="532"/>
  <c r="M194" i="532"/>
  <c r="N194" i="532"/>
  <c r="O194" i="532"/>
  <c r="P194" i="532"/>
  <c r="Q194" i="532"/>
  <c r="R194" i="532"/>
  <c r="H194" i="533"/>
  <c r="I194" i="533"/>
  <c r="J194" i="533"/>
  <c r="K194" i="533"/>
  <c r="L194" i="533"/>
  <c r="M194" i="533"/>
  <c r="N194" i="533"/>
  <c r="O194" i="533"/>
  <c r="P194" i="533"/>
  <c r="Q194" i="533"/>
  <c r="R194" i="533"/>
  <c r="H194" i="534"/>
  <c r="I194" i="534"/>
  <c r="J194" i="534"/>
  <c r="K194" i="534"/>
  <c r="L194" i="534"/>
  <c r="M194" i="534"/>
  <c r="N194" i="534"/>
  <c r="O194" i="534"/>
  <c r="P194" i="534"/>
  <c r="Q194" i="534"/>
  <c r="R194" i="534"/>
  <c r="H194" i="535"/>
  <c r="I194" i="535"/>
  <c r="J194" i="535"/>
  <c r="K194" i="535"/>
  <c r="L194" i="535"/>
  <c r="M194" i="535"/>
  <c r="N194" i="535"/>
  <c r="O194" i="535"/>
  <c r="P194" i="535"/>
  <c r="Q194" i="535"/>
  <c r="R194" i="535"/>
  <c r="H194" i="536"/>
  <c r="I194" i="536"/>
  <c r="J194" i="536"/>
  <c r="K194" i="536"/>
  <c r="L194" i="536"/>
  <c r="M194" i="536"/>
  <c r="N194" i="536"/>
  <c r="O194" i="536"/>
  <c r="P194" i="536"/>
  <c r="Q194" i="536"/>
  <c r="R194" i="536"/>
  <c r="H194" i="537"/>
  <c r="I194" i="537"/>
  <c r="J194" i="537"/>
  <c r="K194" i="537"/>
  <c r="L194" i="537"/>
  <c r="M194" i="537"/>
  <c r="N194" i="537"/>
  <c r="O194" i="537"/>
  <c r="P194" i="537"/>
  <c r="Q194" i="537"/>
  <c r="R194" i="537"/>
  <c r="H194" i="538"/>
  <c r="I194" i="538"/>
  <c r="J194" i="538"/>
  <c r="K194" i="538"/>
  <c r="L194" i="538"/>
  <c r="M194" i="538"/>
  <c r="N194" i="538"/>
  <c r="O194" i="538"/>
  <c r="P194" i="538"/>
  <c r="Q194" i="538"/>
  <c r="R194" i="538"/>
  <c r="H194" i="539"/>
  <c r="I194" i="539"/>
  <c r="J194" i="539"/>
  <c r="K194" i="539"/>
  <c r="L194" i="539"/>
  <c r="M194" i="539"/>
  <c r="N194" i="539"/>
  <c r="O194" i="539"/>
  <c r="P194" i="539"/>
  <c r="Q194" i="539"/>
  <c r="R194" i="539"/>
  <c r="H194" i="540"/>
  <c r="I194" i="540"/>
  <c r="J194" i="540"/>
  <c r="K194" i="540"/>
  <c r="L194" i="540"/>
  <c r="M194" i="540"/>
  <c r="N194" i="540"/>
  <c r="O194" i="540"/>
  <c r="P194" i="540"/>
  <c r="Q194" i="540"/>
  <c r="R194" i="540"/>
  <c r="H194" i="541"/>
  <c r="I194" i="541"/>
  <c r="J194" i="541"/>
  <c r="K194" i="541"/>
  <c r="L194" i="541"/>
  <c r="M194" i="541"/>
  <c r="N194" i="541"/>
  <c r="O194" i="541"/>
  <c r="P194" i="541"/>
  <c r="Q194" i="541"/>
  <c r="R194" i="541"/>
  <c r="H194" i="542"/>
  <c r="I194" i="542"/>
  <c r="J194" i="542"/>
  <c r="K194" i="542"/>
  <c r="L194" i="542"/>
  <c r="M194" i="542"/>
  <c r="N194" i="542"/>
  <c r="O194" i="542"/>
  <c r="P194" i="542"/>
  <c r="Q194" i="542"/>
  <c r="R194" i="542"/>
  <c r="H194" i="543"/>
  <c r="I194" i="543"/>
  <c r="J194" i="543"/>
  <c r="K194" i="543"/>
  <c r="L194" i="543"/>
  <c r="M194" i="543"/>
  <c r="N194" i="543"/>
  <c r="O194" i="543"/>
  <c r="P194" i="543"/>
  <c r="Q194" i="543"/>
  <c r="R194" i="543"/>
  <c r="H194" i="544"/>
  <c r="I194" i="544"/>
  <c r="J194" i="544"/>
  <c r="K194" i="544"/>
  <c r="L194" i="544"/>
  <c r="M194" i="544"/>
  <c r="N194" i="544"/>
  <c r="O194" i="544"/>
  <c r="P194" i="544"/>
  <c r="Q194" i="544"/>
  <c r="R194" i="544"/>
  <c r="H194" i="545"/>
  <c r="I194" i="545"/>
  <c r="J194" i="545"/>
  <c r="K194" i="545"/>
  <c r="L194" i="545"/>
  <c r="M194" i="545"/>
  <c r="N194" i="545"/>
  <c r="O194" i="545"/>
  <c r="P194" i="545"/>
  <c r="Q194" i="545"/>
  <c r="R194" i="545"/>
  <c r="H194" i="270"/>
  <c r="I194" i="270"/>
  <c r="J194" i="270"/>
  <c r="K194" i="270"/>
  <c r="L194" i="270"/>
  <c r="M194" i="270"/>
  <c r="N194" i="270"/>
  <c r="O194" i="270"/>
  <c r="P194" i="270"/>
  <c r="Q194" i="270"/>
  <c r="R194" i="270"/>
  <c r="G194" i="531"/>
  <c r="G194" i="532"/>
  <c r="G194" i="533"/>
  <c r="G194" i="534"/>
  <c r="G194" i="535"/>
  <c r="G194" i="536"/>
  <c r="G194" i="537"/>
  <c r="G194" i="538"/>
  <c r="G194" i="539"/>
  <c r="G194" i="540"/>
  <c r="G194" i="541"/>
  <c r="G194" i="542"/>
  <c r="G194" i="543"/>
  <c r="G194" i="544"/>
  <c r="G194" i="545"/>
  <c r="G194" i="270"/>
  <c r="H193" i="531"/>
  <c r="I193" i="531"/>
  <c r="J193" i="531"/>
  <c r="K193" i="531"/>
  <c r="L193" i="531"/>
  <c r="M193" i="531"/>
  <c r="N193" i="531"/>
  <c r="O193" i="531"/>
  <c r="P193" i="531"/>
  <c r="Q193" i="531"/>
  <c r="R193" i="531"/>
  <c r="H193" i="532"/>
  <c r="I193" i="532"/>
  <c r="J193" i="532"/>
  <c r="K193" i="532"/>
  <c r="L193" i="532"/>
  <c r="M193" i="532"/>
  <c r="N193" i="532"/>
  <c r="O193" i="532"/>
  <c r="P193" i="532"/>
  <c r="Q193" i="532"/>
  <c r="R193" i="532"/>
  <c r="H193" i="533"/>
  <c r="I193" i="533"/>
  <c r="J193" i="533"/>
  <c r="K193" i="533"/>
  <c r="L193" i="533"/>
  <c r="M193" i="533"/>
  <c r="N193" i="533"/>
  <c r="O193" i="533"/>
  <c r="P193" i="533"/>
  <c r="Q193" i="533"/>
  <c r="R193" i="533"/>
  <c r="H193" i="534"/>
  <c r="I193" i="534"/>
  <c r="J193" i="534"/>
  <c r="K193" i="534"/>
  <c r="L193" i="534"/>
  <c r="M193" i="534"/>
  <c r="N193" i="534"/>
  <c r="O193" i="534"/>
  <c r="P193" i="534"/>
  <c r="Q193" i="534"/>
  <c r="R193" i="534"/>
  <c r="H193" i="535"/>
  <c r="I193" i="535"/>
  <c r="J193" i="535"/>
  <c r="K193" i="535"/>
  <c r="L193" i="535"/>
  <c r="M193" i="535"/>
  <c r="N193" i="535"/>
  <c r="O193" i="535"/>
  <c r="P193" i="535"/>
  <c r="Q193" i="535"/>
  <c r="R193" i="535"/>
  <c r="H193" i="536"/>
  <c r="I193" i="536"/>
  <c r="J193" i="536"/>
  <c r="K193" i="536"/>
  <c r="L193" i="536"/>
  <c r="M193" i="536"/>
  <c r="N193" i="536"/>
  <c r="O193" i="536"/>
  <c r="P193" i="536"/>
  <c r="Q193" i="536"/>
  <c r="R193" i="536"/>
  <c r="H193" i="537"/>
  <c r="I193" i="537"/>
  <c r="J193" i="537"/>
  <c r="K193" i="537"/>
  <c r="L193" i="537"/>
  <c r="M193" i="537"/>
  <c r="N193" i="537"/>
  <c r="O193" i="537"/>
  <c r="P193" i="537"/>
  <c r="Q193" i="537"/>
  <c r="R193" i="537"/>
  <c r="H193" i="538"/>
  <c r="I193" i="538"/>
  <c r="J193" i="538"/>
  <c r="K193" i="538"/>
  <c r="L193" i="538"/>
  <c r="M193" i="538"/>
  <c r="N193" i="538"/>
  <c r="O193" i="538"/>
  <c r="P193" i="538"/>
  <c r="Q193" i="538"/>
  <c r="R193" i="538"/>
  <c r="H193" i="539"/>
  <c r="I193" i="539"/>
  <c r="J193" i="539"/>
  <c r="K193" i="539"/>
  <c r="L193" i="539"/>
  <c r="M193" i="539"/>
  <c r="N193" i="539"/>
  <c r="O193" i="539"/>
  <c r="P193" i="539"/>
  <c r="Q193" i="539"/>
  <c r="R193" i="539"/>
  <c r="H193" i="540"/>
  <c r="I193" i="540"/>
  <c r="J193" i="540"/>
  <c r="K193" i="540"/>
  <c r="L193" i="540"/>
  <c r="M193" i="540"/>
  <c r="N193" i="540"/>
  <c r="O193" i="540"/>
  <c r="P193" i="540"/>
  <c r="Q193" i="540"/>
  <c r="R193" i="540"/>
  <c r="H193" i="541"/>
  <c r="I193" i="541"/>
  <c r="J193" i="541"/>
  <c r="K193" i="541"/>
  <c r="L193" i="541"/>
  <c r="M193" i="541"/>
  <c r="N193" i="541"/>
  <c r="O193" i="541"/>
  <c r="P193" i="541"/>
  <c r="Q193" i="541"/>
  <c r="R193" i="541"/>
  <c r="H193" i="542"/>
  <c r="I193" i="542"/>
  <c r="J193" i="542"/>
  <c r="K193" i="542"/>
  <c r="L193" i="542"/>
  <c r="M193" i="542"/>
  <c r="N193" i="542"/>
  <c r="O193" i="542"/>
  <c r="P193" i="542"/>
  <c r="Q193" i="542"/>
  <c r="R193" i="542"/>
  <c r="H193" i="543"/>
  <c r="I193" i="543"/>
  <c r="J193" i="543"/>
  <c r="K193" i="543"/>
  <c r="L193" i="543"/>
  <c r="M193" i="543"/>
  <c r="N193" i="543"/>
  <c r="O193" i="543"/>
  <c r="P193" i="543"/>
  <c r="Q193" i="543"/>
  <c r="R193" i="543"/>
  <c r="H193" i="544"/>
  <c r="I193" i="544"/>
  <c r="J193" i="544"/>
  <c r="K193" i="544"/>
  <c r="L193" i="544"/>
  <c r="M193" i="544"/>
  <c r="N193" i="544"/>
  <c r="O193" i="544"/>
  <c r="P193" i="544"/>
  <c r="Q193" i="544"/>
  <c r="R193" i="544"/>
  <c r="H193" i="545"/>
  <c r="I193" i="545"/>
  <c r="J193" i="545"/>
  <c r="K193" i="545"/>
  <c r="L193" i="545"/>
  <c r="M193" i="545"/>
  <c r="N193" i="545"/>
  <c r="O193" i="545"/>
  <c r="P193" i="545"/>
  <c r="Q193" i="545"/>
  <c r="R193" i="545"/>
  <c r="H193" i="270"/>
  <c r="I193" i="270"/>
  <c r="J193" i="270"/>
  <c r="K193" i="270"/>
  <c r="L193" i="270"/>
  <c r="M193" i="270"/>
  <c r="N193" i="270"/>
  <c r="O193" i="270"/>
  <c r="P193" i="270"/>
  <c r="Q193" i="270"/>
  <c r="R193" i="270"/>
  <c r="G193" i="531"/>
  <c r="G193" i="532"/>
  <c r="G193" i="533"/>
  <c r="G193" i="534"/>
  <c r="G193" i="535"/>
  <c r="G193" i="536"/>
  <c r="G193" i="537"/>
  <c r="G193" i="538"/>
  <c r="G193" i="539"/>
  <c r="G193" i="540"/>
  <c r="G193" i="541"/>
  <c r="G193" i="542"/>
  <c r="G193" i="543"/>
  <c r="G193" i="544"/>
  <c r="G193" i="545"/>
  <c r="G193" i="270"/>
  <c r="H192" i="531"/>
  <c r="I192" i="531"/>
  <c r="J192" i="531"/>
  <c r="K192" i="531"/>
  <c r="L192" i="531"/>
  <c r="M192" i="531"/>
  <c r="N192" i="531"/>
  <c r="O192" i="531"/>
  <c r="P192" i="531"/>
  <c r="Q192" i="531"/>
  <c r="R192" i="531"/>
  <c r="H192" i="532"/>
  <c r="I192" i="532"/>
  <c r="J192" i="532"/>
  <c r="K192" i="532"/>
  <c r="L192" i="532"/>
  <c r="M192" i="532"/>
  <c r="N192" i="532"/>
  <c r="O192" i="532"/>
  <c r="P192" i="532"/>
  <c r="Q192" i="532"/>
  <c r="R192" i="532"/>
  <c r="H192" i="533"/>
  <c r="I192" i="533"/>
  <c r="J192" i="533"/>
  <c r="K192" i="533"/>
  <c r="L192" i="533"/>
  <c r="M192" i="533"/>
  <c r="N192" i="533"/>
  <c r="O192" i="533"/>
  <c r="P192" i="533"/>
  <c r="Q192" i="533"/>
  <c r="R192" i="533"/>
  <c r="H192" i="534"/>
  <c r="I192" i="534"/>
  <c r="J192" i="534"/>
  <c r="K192" i="534"/>
  <c r="L192" i="534"/>
  <c r="M192" i="534"/>
  <c r="N192" i="534"/>
  <c r="O192" i="534"/>
  <c r="P192" i="534"/>
  <c r="Q192" i="534"/>
  <c r="R192" i="534"/>
  <c r="H192" i="535"/>
  <c r="I192" i="535"/>
  <c r="J192" i="535"/>
  <c r="K192" i="535"/>
  <c r="L192" i="535"/>
  <c r="M192" i="535"/>
  <c r="N192" i="535"/>
  <c r="O192" i="535"/>
  <c r="P192" i="535"/>
  <c r="Q192" i="535"/>
  <c r="R192" i="535"/>
  <c r="H192" i="536"/>
  <c r="I192" i="536"/>
  <c r="J192" i="536"/>
  <c r="K192" i="536"/>
  <c r="L192" i="536"/>
  <c r="M192" i="536"/>
  <c r="N192" i="536"/>
  <c r="O192" i="536"/>
  <c r="P192" i="536"/>
  <c r="Q192" i="536"/>
  <c r="R192" i="536"/>
  <c r="H192" i="537"/>
  <c r="I192" i="537"/>
  <c r="J192" i="537"/>
  <c r="K192" i="537"/>
  <c r="L192" i="537"/>
  <c r="M192" i="537"/>
  <c r="N192" i="537"/>
  <c r="O192" i="537"/>
  <c r="P192" i="537"/>
  <c r="Q192" i="537"/>
  <c r="R192" i="537"/>
  <c r="H192" i="538"/>
  <c r="I192" i="538"/>
  <c r="J192" i="538"/>
  <c r="K192" i="538"/>
  <c r="L192" i="538"/>
  <c r="M192" i="538"/>
  <c r="N192" i="538"/>
  <c r="O192" i="538"/>
  <c r="P192" i="538"/>
  <c r="Q192" i="538"/>
  <c r="R192" i="538"/>
  <c r="H192" i="539"/>
  <c r="I192" i="539"/>
  <c r="J192" i="539"/>
  <c r="K192" i="539"/>
  <c r="L192" i="539"/>
  <c r="M192" i="539"/>
  <c r="N192" i="539"/>
  <c r="O192" i="539"/>
  <c r="P192" i="539"/>
  <c r="Q192" i="539"/>
  <c r="R192" i="539"/>
  <c r="H192" i="540"/>
  <c r="I192" i="540"/>
  <c r="J192" i="540"/>
  <c r="K192" i="540"/>
  <c r="L192" i="540"/>
  <c r="M192" i="540"/>
  <c r="N192" i="540"/>
  <c r="O192" i="540"/>
  <c r="P192" i="540"/>
  <c r="Q192" i="540"/>
  <c r="R192" i="540"/>
  <c r="H192" i="541"/>
  <c r="I192" i="541"/>
  <c r="J192" i="541"/>
  <c r="K192" i="541"/>
  <c r="L192" i="541"/>
  <c r="M192" i="541"/>
  <c r="N192" i="541"/>
  <c r="O192" i="541"/>
  <c r="P192" i="541"/>
  <c r="Q192" i="541"/>
  <c r="R192" i="541"/>
  <c r="H192" i="542"/>
  <c r="I192" i="542"/>
  <c r="J192" i="542"/>
  <c r="K192" i="542"/>
  <c r="L192" i="542"/>
  <c r="M192" i="542"/>
  <c r="N192" i="542"/>
  <c r="O192" i="542"/>
  <c r="P192" i="542"/>
  <c r="Q192" i="542"/>
  <c r="R192" i="542"/>
  <c r="H192" i="543"/>
  <c r="I192" i="543"/>
  <c r="J192" i="543"/>
  <c r="K192" i="543"/>
  <c r="L192" i="543"/>
  <c r="M192" i="543"/>
  <c r="N192" i="543"/>
  <c r="O192" i="543"/>
  <c r="P192" i="543"/>
  <c r="Q192" i="543"/>
  <c r="R192" i="543"/>
  <c r="H192" i="544"/>
  <c r="I192" i="544"/>
  <c r="J192" i="544"/>
  <c r="K192" i="544"/>
  <c r="L192" i="544"/>
  <c r="M192" i="544"/>
  <c r="N192" i="544"/>
  <c r="O192" i="544"/>
  <c r="P192" i="544"/>
  <c r="Q192" i="544"/>
  <c r="R192" i="544"/>
  <c r="H192" i="545"/>
  <c r="I192" i="545"/>
  <c r="J192" i="545"/>
  <c r="K192" i="545"/>
  <c r="L192" i="545"/>
  <c r="M192" i="545"/>
  <c r="N192" i="545"/>
  <c r="O192" i="545"/>
  <c r="P192" i="545"/>
  <c r="Q192" i="545"/>
  <c r="R192" i="545"/>
  <c r="H7" i="270"/>
  <c r="H46" i="270"/>
  <c r="H45" i="270"/>
  <c r="H110" i="270"/>
  <c r="H111" i="270"/>
  <c r="H112" i="270"/>
  <c r="H113" i="270"/>
  <c r="H47" i="270"/>
  <c r="H48" i="270"/>
  <c r="H49" i="270"/>
  <c r="H50" i="270"/>
  <c r="H13" i="270"/>
  <c r="H51" i="270"/>
  <c r="H14" i="270"/>
  <c r="H52" i="270"/>
  <c r="H15" i="270"/>
  <c r="H53" i="270"/>
  <c r="H16" i="270"/>
  <c r="H54" i="270"/>
  <c r="H17" i="270"/>
  <c r="H55" i="270"/>
  <c r="H18" i="270"/>
  <c r="H56" i="270"/>
  <c r="H57" i="270"/>
  <c r="H58" i="270"/>
  <c r="H59" i="270"/>
  <c r="H20" i="270"/>
  <c r="H60" i="270"/>
  <c r="H61" i="270"/>
  <c r="H62" i="270"/>
  <c r="H23" i="270"/>
  <c r="H63" i="270"/>
  <c r="H102" i="270"/>
  <c r="H90" i="270"/>
  <c r="H91" i="270"/>
  <c r="H92" i="270"/>
  <c r="H192" i="270"/>
  <c r="I7" i="270"/>
  <c r="I46" i="270"/>
  <c r="I45" i="270"/>
  <c r="I110" i="270"/>
  <c r="I111" i="270"/>
  <c r="I112" i="270"/>
  <c r="I113" i="270"/>
  <c r="I47" i="270"/>
  <c r="I48" i="270"/>
  <c r="I49" i="270"/>
  <c r="I50" i="270"/>
  <c r="I13" i="270"/>
  <c r="I51" i="270"/>
  <c r="I14" i="270"/>
  <c r="I52" i="270"/>
  <c r="I15" i="270"/>
  <c r="I53" i="270"/>
  <c r="I16" i="270"/>
  <c r="I54" i="270"/>
  <c r="I17" i="270"/>
  <c r="I55" i="270"/>
  <c r="I18" i="270"/>
  <c r="I56" i="270"/>
  <c r="I57" i="270"/>
  <c r="I58" i="270"/>
  <c r="I59" i="270"/>
  <c r="I20" i="270"/>
  <c r="I60" i="270"/>
  <c r="I61" i="270"/>
  <c r="I62" i="270"/>
  <c r="I23" i="270"/>
  <c r="I63" i="270"/>
  <c r="I102" i="270"/>
  <c r="I90" i="270"/>
  <c r="I91" i="270"/>
  <c r="I92" i="270"/>
  <c r="I192" i="270"/>
  <c r="J7" i="270"/>
  <c r="J46" i="270"/>
  <c r="J45" i="270"/>
  <c r="J110" i="270"/>
  <c r="J111" i="270"/>
  <c r="J112" i="270"/>
  <c r="J113" i="270"/>
  <c r="J47" i="270"/>
  <c r="J48" i="270"/>
  <c r="J49" i="270"/>
  <c r="J50" i="270"/>
  <c r="J13" i="270"/>
  <c r="J51" i="270"/>
  <c r="J14" i="270"/>
  <c r="J52" i="270"/>
  <c r="J15" i="270"/>
  <c r="J53" i="270"/>
  <c r="J16" i="270"/>
  <c r="J54" i="270"/>
  <c r="J17" i="270"/>
  <c r="J55" i="270"/>
  <c r="J18" i="270"/>
  <c r="J56" i="270"/>
  <c r="J57" i="270"/>
  <c r="J58" i="270"/>
  <c r="J59" i="270"/>
  <c r="J20" i="270"/>
  <c r="J60" i="270"/>
  <c r="J61" i="270"/>
  <c r="J62" i="270"/>
  <c r="J23" i="270"/>
  <c r="J63" i="270"/>
  <c r="J102" i="270"/>
  <c r="J90" i="270"/>
  <c r="J91" i="270"/>
  <c r="J92" i="270"/>
  <c r="J192" i="270"/>
  <c r="K7" i="270"/>
  <c r="K46" i="270"/>
  <c r="K45" i="270"/>
  <c r="K110" i="270"/>
  <c r="K111" i="270"/>
  <c r="K112" i="270"/>
  <c r="K113" i="270"/>
  <c r="K47" i="270"/>
  <c r="K48" i="270"/>
  <c r="K49" i="270"/>
  <c r="K50" i="270"/>
  <c r="K13" i="270"/>
  <c r="K51" i="270"/>
  <c r="K14" i="270"/>
  <c r="K52" i="270"/>
  <c r="K15" i="270"/>
  <c r="K53" i="270"/>
  <c r="K16" i="270"/>
  <c r="K54" i="270"/>
  <c r="K17" i="270"/>
  <c r="K55" i="270"/>
  <c r="K18" i="270"/>
  <c r="K56" i="270"/>
  <c r="K57" i="270"/>
  <c r="K58" i="270"/>
  <c r="K59" i="270"/>
  <c r="K20" i="270"/>
  <c r="K60" i="270"/>
  <c r="K61" i="270"/>
  <c r="K62" i="270"/>
  <c r="K23" i="270"/>
  <c r="K63" i="270"/>
  <c r="K102" i="270"/>
  <c r="K90" i="270"/>
  <c r="K91" i="270"/>
  <c r="K92" i="270"/>
  <c r="K192" i="270"/>
  <c r="L7" i="270"/>
  <c r="L46" i="270"/>
  <c r="L45" i="270"/>
  <c r="L110" i="270"/>
  <c r="L111" i="270"/>
  <c r="L112" i="270"/>
  <c r="L113" i="270"/>
  <c r="L47" i="270"/>
  <c r="L48" i="270"/>
  <c r="L49" i="270"/>
  <c r="L50" i="270"/>
  <c r="L13" i="270"/>
  <c r="L51" i="270"/>
  <c r="L14" i="270"/>
  <c r="L52" i="270"/>
  <c r="L15" i="270"/>
  <c r="L53" i="270"/>
  <c r="L16" i="270"/>
  <c r="L54" i="270"/>
  <c r="L17" i="270"/>
  <c r="L55" i="270"/>
  <c r="L18" i="270"/>
  <c r="L56" i="270"/>
  <c r="L57" i="270"/>
  <c r="L58" i="270"/>
  <c r="L59" i="270"/>
  <c r="L20" i="270"/>
  <c r="L60" i="270"/>
  <c r="L61" i="270"/>
  <c r="L62" i="270"/>
  <c r="L23" i="270"/>
  <c r="L63" i="270"/>
  <c r="L102" i="270"/>
  <c r="L90" i="270"/>
  <c r="L91" i="270"/>
  <c r="L92" i="270"/>
  <c r="L192" i="270"/>
  <c r="M7" i="270"/>
  <c r="M46" i="270"/>
  <c r="M45" i="270"/>
  <c r="M110" i="270"/>
  <c r="M111" i="270"/>
  <c r="M112" i="270"/>
  <c r="M113" i="270"/>
  <c r="M47" i="270"/>
  <c r="M48" i="270"/>
  <c r="M49" i="270"/>
  <c r="M50" i="270"/>
  <c r="M13" i="270"/>
  <c r="M51" i="270"/>
  <c r="M14" i="270"/>
  <c r="M52" i="270"/>
  <c r="M15" i="270"/>
  <c r="M53" i="270"/>
  <c r="M16" i="270"/>
  <c r="M54" i="270"/>
  <c r="M17" i="270"/>
  <c r="M55" i="270"/>
  <c r="M18" i="270"/>
  <c r="M56" i="270"/>
  <c r="M57" i="270"/>
  <c r="M58" i="270"/>
  <c r="M59" i="270"/>
  <c r="M20" i="270"/>
  <c r="M60" i="270"/>
  <c r="M61" i="270"/>
  <c r="M62" i="270"/>
  <c r="M23" i="270"/>
  <c r="M63" i="270"/>
  <c r="M102" i="270"/>
  <c r="M90" i="270"/>
  <c r="M91" i="270"/>
  <c r="M92" i="270"/>
  <c r="M192" i="270"/>
  <c r="N7" i="270"/>
  <c r="N46" i="270"/>
  <c r="N45" i="270"/>
  <c r="N110" i="270"/>
  <c r="N111" i="270"/>
  <c r="N112" i="270"/>
  <c r="N113" i="270"/>
  <c r="N47" i="270"/>
  <c r="N48" i="270"/>
  <c r="N49" i="270"/>
  <c r="N50" i="270"/>
  <c r="N13" i="270"/>
  <c r="N51" i="270"/>
  <c r="N14" i="270"/>
  <c r="N52" i="270"/>
  <c r="N15" i="270"/>
  <c r="N53" i="270"/>
  <c r="N16" i="270"/>
  <c r="N54" i="270"/>
  <c r="N17" i="270"/>
  <c r="N55" i="270"/>
  <c r="N18" i="270"/>
  <c r="N56" i="270"/>
  <c r="N57" i="270"/>
  <c r="N58" i="270"/>
  <c r="N59" i="270"/>
  <c r="N20" i="270"/>
  <c r="N60" i="270"/>
  <c r="N61" i="270"/>
  <c r="N62" i="270"/>
  <c r="N23" i="270"/>
  <c r="N63" i="270"/>
  <c r="N102" i="270"/>
  <c r="N90" i="270"/>
  <c r="N91" i="270"/>
  <c r="N92" i="270"/>
  <c r="N192" i="270"/>
  <c r="O7" i="270"/>
  <c r="O46" i="270"/>
  <c r="O45" i="270"/>
  <c r="O110" i="270"/>
  <c r="O111" i="270"/>
  <c r="O112" i="270"/>
  <c r="O113" i="270"/>
  <c r="O47" i="270"/>
  <c r="O48" i="270"/>
  <c r="O49" i="270"/>
  <c r="O50" i="270"/>
  <c r="O13" i="270"/>
  <c r="O51" i="270"/>
  <c r="O14" i="270"/>
  <c r="O52" i="270"/>
  <c r="O15" i="270"/>
  <c r="O53" i="270"/>
  <c r="O16" i="270"/>
  <c r="O54" i="270"/>
  <c r="O17" i="270"/>
  <c r="O55" i="270"/>
  <c r="O18" i="270"/>
  <c r="O56" i="270"/>
  <c r="O57" i="270"/>
  <c r="O58" i="270"/>
  <c r="O59" i="270"/>
  <c r="O20" i="270"/>
  <c r="O60" i="270"/>
  <c r="O61" i="270"/>
  <c r="O62" i="270"/>
  <c r="O23" i="270"/>
  <c r="O63" i="270"/>
  <c r="O102" i="270"/>
  <c r="O90" i="270"/>
  <c r="O91" i="270"/>
  <c r="O92" i="270"/>
  <c r="O192" i="270"/>
  <c r="P7" i="270"/>
  <c r="P46" i="270"/>
  <c r="P45" i="270"/>
  <c r="P110" i="270"/>
  <c r="P111" i="270"/>
  <c r="P112" i="270"/>
  <c r="P113" i="270"/>
  <c r="P47" i="270"/>
  <c r="P48" i="270"/>
  <c r="P49" i="270"/>
  <c r="P50" i="270"/>
  <c r="P13" i="270"/>
  <c r="P51" i="270"/>
  <c r="P14" i="270"/>
  <c r="P52" i="270"/>
  <c r="P15" i="270"/>
  <c r="P53" i="270"/>
  <c r="P16" i="270"/>
  <c r="P54" i="270"/>
  <c r="P17" i="270"/>
  <c r="P55" i="270"/>
  <c r="P18" i="270"/>
  <c r="P56" i="270"/>
  <c r="P57" i="270"/>
  <c r="P58" i="270"/>
  <c r="P59" i="270"/>
  <c r="P20" i="270"/>
  <c r="P60" i="270"/>
  <c r="P61" i="270"/>
  <c r="P62" i="270"/>
  <c r="P63" i="270"/>
  <c r="P102" i="270"/>
  <c r="P90" i="270"/>
  <c r="P91" i="270"/>
  <c r="P92" i="270"/>
  <c r="P192" i="270"/>
  <c r="Q7" i="270"/>
  <c r="Q46" i="270"/>
  <c r="Q45" i="270"/>
  <c r="Q110" i="270"/>
  <c r="Q111" i="270"/>
  <c r="Q112" i="270"/>
  <c r="Q113" i="270"/>
  <c r="Q47" i="270"/>
  <c r="Q48" i="270"/>
  <c r="Q49" i="270"/>
  <c r="Q50" i="270"/>
  <c r="Q13" i="270"/>
  <c r="Q51" i="270"/>
  <c r="Q14" i="270"/>
  <c r="Q52" i="270"/>
  <c r="Q15" i="270"/>
  <c r="Q53" i="270"/>
  <c r="Q16" i="270"/>
  <c r="Q54" i="270"/>
  <c r="Q17" i="270"/>
  <c r="Q55" i="270"/>
  <c r="Q18" i="270"/>
  <c r="Q56" i="270"/>
  <c r="Q57" i="270"/>
  <c r="Q58" i="270"/>
  <c r="Q59" i="270"/>
  <c r="Q20" i="270"/>
  <c r="Q60" i="270"/>
  <c r="Q61" i="270"/>
  <c r="Q62" i="270"/>
  <c r="Q63" i="270"/>
  <c r="Q102" i="270"/>
  <c r="Q90" i="270"/>
  <c r="Q91" i="270"/>
  <c r="Q92" i="270"/>
  <c r="Q192" i="270"/>
  <c r="R7" i="270"/>
  <c r="R46" i="270"/>
  <c r="R45" i="270"/>
  <c r="R110" i="270"/>
  <c r="R111" i="270"/>
  <c r="R112" i="270"/>
  <c r="R113" i="270"/>
  <c r="R47" i="270"/>
  <c r="R48" i="270"/>
  <c r="R49" i="270"/>
  <c r="R50" i="270"/>
  <c r="R13" i="270"/>
  <c r="R51" i="270"/>
  <c r="R14" i="270"/>
  <c r="R52" i="270"/>
  <c r="R15" i="270"/>
  <c r="R53" i="270"/>
  <c r="R16" i="270"/>
  <c r="R54" i="270"/>
  <c r="R17" i="270"/>
  <c r="R55" i="270"/>
  <c r="R18" i="270"/>
  <c r="R56" i="270"/>
  <c r="R57" i="270"/>
  <c r="R58" i="270"/>
  <c r="R59" i="270"/>
  <c r="R20" i="270"/>
  <c r="R60" i="270"/>
  <c r="R61" i="270"/>
  <c r="R62" i="270"/>
  <c r="R63" i="270"/>
  <c r="R102" i="270"/>
  <c r="R90" i="270"/>
  <c r="R91" i="270"/>
  <c r="R92" i="270"/>
  <c r="R192" i="270"/>
  <c r="G192" i="531"/>
  <c r="G192" i="532"/>
  <c r="G192" i="533"/>
  <c r="G192" i="534"/>
  <c r="G192" i="535"/>
  <c r="G192" i="536"/>
  <c r="G192" i="537"/>
  <c r="G192" i="538"/>
  <c r="G192" i="539"/>
  <c r="G192" i="540"/>
  <c r="G192" i="541"/>
  <c r="G192" i="542"/>
  <c r="G192" i="543"/>
  <c r="G192" i="544"/>
  <c r="G192" i="545"/>
  <c r="G102" i="270"/>
  <c r="G90" i="270"/>
  <c r="G91" i="270"/>
  <c r="G92" i="270"/>
  <c r="G192" i="270"/>
  <c r="H191" i="531"/>
  <c r="I191" i="531"/>
  <c r="J191" i="531"/>
  <c r="K191" i="531"/>
  <c r="L191" i="531"/>
  <c r="M191" i="531"/>
  <c r="N191" i="531"/>
  <c r="O191" i="531"/>
  <c r="P191" i="531"/>
  <c r="Q191" i="531"/>
  <c r="R191" i="531"/>
  <c r="H191" i="532"/>
  <c r="I191" i="532"/>
  <c r="J191" i="532"/>
  <c r="K191" i="532"/>
  <c r="L191" i="532"/>
  <c r="M191" i="532"/>
  <c r="N191" i="532"/>
  <c r="O191" i="532"/>
  <c r="P191" i="532"/>
  <c r="Q191" i="532"/>
  <c r="R191" i="532"/>
  <c r="H191" i="533"/>
  <c r="I191" i="533"/>
  <c r="J191" i="533"/>
  <c r="K191" i="533"/>
  <c r="L191" i="533"/>
  <c r="M191" i="533"/>
  <c r="N191" i="533"/>
  <c r="O191" i="533"/>
  <c r="P191" i="533"/>
  <c r="Q191" i="533"/>
  <c r="R191" i="533"/>
  <c r="H191" i="534"/>
  <c r="I191" i="534"/>
  <c r="J191" i="534"/>
  <c r="K191" i="534"/>
  <c r="L191" i="534"/>
  <c r="M191" i="534"/>
  <c r="N191" i="534"/>
  <c r="O191" i="534"/>
  <c r="P191" i="534"/>
  <c r="Q191" i="534"/>
  <c r="R191" i="534"/>
  <c r="H191" i="535"/>
  <c r="I191" i="535"/>
  <c r="J191" i="535"/>
  <c r="K191" i="535"/>
  <c r="L191" i="535"/>
  <c r="M191" i="535"/>
  <c r="N191" i="535"/>
  <c r="O191" i="535"/>
  <c r="P191" i="535"/>
  <c r="Q191" i="535"/>
  <c r="R191" i="535"/>
  <c r="H191" i="536"/>
  <c r="I191" i="536"/>
  <c r="J191" i="536"/>
  <c r="K191" i="536"/>
  <c r="L191" i="536"/>
  <c r="M191" i="536"/>
  <c r="N191" i="536"/>
  <c r="O191" i="536"/>
  <c r="P191" i="536"/>
  <c r="Q191" i="536"/>
  <c r="R191" i="536"/>
  <c r="H191" i="537"/>
  <c r="I191" i="537"/>
  <c r="J191" i="537"/>
  <c r="K191" i="537"/>
  <c r="L191" i="537"/>
  <c r="M191" i="537"/>
  <c r="N191" i="537"/>
  <c r="O191" i="537"/>
  <c r="P191" i="537"/>
  <c r="Q191" i="537"/>
  <c r="R191" i="537"/>
  <c r="H191" i="538"/>
  <c r="I191" i="538"/>
  <c r="J191" i="538"/>
  <c r="K191" i="538"/>
  <c r="L191" i="538"/>
  <c r="M191" i="538"/>
  <c r="N191" i="538"/>
  <c r="O191" i="538"/>
  <c r="P191" i="538"/>
  <c r="Q191" i="538"/>
  <c r="R191" i="538"/>
  <c r="H191" i="539"/>
  <c r="I191" i="539"/>
  <c r="J191" i="539"/>
  <c r="K191" i="539"/>
  <c r="L191" i="539"/>
  <c r="M191" i="539"/>
  <c r="N191" i="539"/>
  <c r="O191" i="539"/>
  <c r="P191" i="539"/>
  <c r="Q191" i="539"/>
  <c r="R191" i="539"/>
  <c r="H191" i="540"/>
  <c r="I191" i="540"/>
  <c r="J191" i="540"/>
  <c r="K191" i="540"/>
  <c r="L191" i="540"/>
  <c r="M191" i="540"/>
  <c r="N191" i="540"/>
  <c r="O191" i="540"/>
  <c r="P191" i="540"/>
  <c r="Q191" i="540"/>
  <c r="R191" i="540"/>
  <c r="H191" i="541"/>
  <c r="I191" i="541"/>
  <c r="J191" i="541"/>
  <c r="K191" i="541"/>
  <c r="L191" i="541"/>
  <c r="M191" i="541"/>
  <c r="N191" i="541"/>
  <c r="O191" i="541"/>
  <c r="P191" i="541"/>
  <c r="Q191" i="541"/>
  <c r="R191" i="541"/>
  <c r="H191" i="542"/>
  <c r="I191" i="542"/>
  <c r="J191" i="542"/>
  <c r="K191" i="542"/>
  <c r="L191" i="542"/>
  <c r="M191" i="542"/>
  <c r="N191" i="542"/>
  <c r="O191" i="542"/>
  <c r="P191" i="542"/>
  <c r="Q191" i="542"/>
  <c r="R191" i="542"/>
  <c r="H191" i="543"/>
  <c r="I191" i="543"/>
  <c r="J191" i="543"/>
  <c r="K191" i="543"/>
  <c r="L191" i="543"/>
  <c r="M191" i="543"/>
  <c r="N191" i="543"/>
  <c r="O191" i="543"/>
  <c r="P191" i="543"/>
  <c r="Q191" i="543"/>
  <c r="R191" i="543"/>
  <c r="H191" i="544"/>
  <c r="I191" i="544"/>
  <c r="J191" i="544"/>
  <c r="K191" i="544"/>
  <c r="L191" i="544"/>
  <c r="M191" i="544"/>
  <c r="N191" i="544"/>
  <c r="O191" i="544"/>
  <c r="P191" i="544"/>
  <c r="Q191" i="544"/>
  <c r="R191" i="544"/>
  <c r="H191" i="545"/>
  <c r="I191" i="545"/>
  <c r="J191" i="545"/>
  <c r="K191" i="545"/>
  <c r="L191" i="545"/>
  <c r="M191" i="545"/>
  <c r="N191" i="545"/>
  <c r="O191" i="545"/>
  <c r="P191" i="545"/>
  <c r="Q191" i="545"/>
  <c r="R191" i="545"/>
  <c r="H191" i="270"/>
  <c r="I191" i="270"/>
  <c r="J191" i="270"/>
  <c r="K191" i="270"/>
  <c r="L191" i="270"/>
  <c r="M191" i="270"/>
  <c r="N191" i="270"/>
  <c r="O191" i="270"/>
  <c r="P191" i="270"/>
  <c r="Q191" i="270"/>
  <c r="R191" i="270"/>
  <c r="G191" i="531"/>
  <c r="G191" i="532"/>
  <c r="G191" i="533"/>
  <c r="G191" i="534"/>
  <c r="G191" i="535"/>
  <c r="G191" i="536"/>
  <c r="G191" i="537"/>
  <c r="G191" i="538"/>
  <c r="G191" i="539"/>
  <c r="G191" i="540"/>
  <c r="G191" i="541"/>
  <c r="G191" i="542"/>
  <c r="G191" i="543"/>
  <c r="G191" i="544"/>
  <c r="G191" i="545"/>
  <c r="G191" i="270"/>
  <c r="H167" i="531"/>
  <c r="I167" i="531"/>
  <c r="J167" i="531"/>
  <c r="K167" i="531"/>
  <c r="L167" i="531"/>
  <c r="M167" i="531"/>
  <c r="N167" i="531"/>
  <c r="O167" i="531"/>
  <c r="P167" i="531"/>
  <c r="Q167" i="531"/>
  <c r="R167" i="531"/>
  <c r="H167" i="532"/>
  <c r="I167" i="532"/>
  <c r="J167" i="532"/>
  <c r="K167" i="532"/>
  <c r="L167" i="532"/>
  <c r="M167" i="532"/>
  <c r="N167" i="532"/>
  <c r="O167" i="532"/>
  <c r="P167" i="532"/>
  <c r="Q167" i="532"/>
  <c r="R167" i="532"/>
  <c r="H167" i="533"/>
  <c r="I167" i="533"/>
  <c r="J167" i="533"/>
  <c r="K167" i="533"/>
  <c r="L167" i="533"/>
  <c r="M167" i="533"/>
  <c r="N167" i="533"/>
  <c r="O167" i="533"/>
  <c r="P167" i="533"/>
  <c r="Q167" i="533"/>
  <c r="R167" i="533"/>
  <c r="H167" i="534"/>
  <c r="I167" i="534"/>
  <c r="J167" i="534"/>
  <c r="K167" i="534"/>
  <c r="L167" i="534"/>
  <c r="M167" i="534"/>
  <c r="N167" i="534"/>
  <c r="O167" i="534"/>
  <c r="P167" i="534"/>
  <c r="Q167" i="534"/>
  <c r="R167" i="534"/>
  <c r="H167" i="535"/>
  <c r="I167" i="535"/>
  <c r="J167" i="535"/>
  <c r="K167" i="535"/>
  <c r="L167" i="535"/>
  <c r="M167" i="535"/>
  <c r="N167" i="535"/>
  <c r="O167" i="535"/>
  <c r="P167" i="535"/>
  <c r="Q167" i="535"/>
  <c r="R167" i="535"/>
  <c r="H167" i="536"/>
  <c r="I167" i="536"/>
  <c r="J167" i="536"/>
  <c r="K167" i="536"/>
  <c r="L167" i="536"/>
  <c r="M167" i="536"/>
  <c r="N167" i="536"/>
  <c r="O167" i="536"/>
  <c r="P167" i="536"/>
  <c r="Q167" i="536"/>
  <c r="R167" i="536"/>
  <c r="H167" i="537"/>
  <c r="I167" i="537"/>
  <c r="J167" i="537"/>
  <c r="K167" i="537"/>
  <c r="L167" i="537"/>
  <c r="M167" i="537"/>
  <c r="N167" i="537"/>
  <c r="O167" i="537"/>
  <c r="P167" i="537"/>
  <c r="Q167" i="537"/>
  <c r="R167" i="537"/>
  <c r="H167" i="538"/>
  <c r="I167" i="538"/>
  <c r="J167" i="538"/>
  <c r="K167" i="538"/>
  <c r="L167" i="538"/>
  <c r="M167" i="538"/>
  <c r="N167" i="538"/>
  <c r="O167" i="538"/>
  <c r="P167" i="538"/>
  <c r="Q167" i="538"/>
  <c r="R167" i="538"/>
  <c r="H167" i="539"/>
  <c r="I167" i="539"/>
  <c r="J167" i="539"/>
  <c r="K167" i="539"/>
  <c r="L167" i="539"/>
  <c r="M167" i="539"/>
  <c r="N167" i="539"/>
  <c r="O167" i="539"/>
  <c r="P167" i="539"/>
  <c r="Q167" i="539"/>
  <c r="R167" i="539"/>
  <c r="H167" i="540"/>
  <c r="I167" i="540"/>
  <c r="J167" i="540"/>
  <c r="K167" i="540"/>
  <c r="L167" i="540"/>
  <c r="M167" i="540"/>
  <c r="N167" i="540"/>
  <c r="O167" i="540"/>
  <c r="P167" i="540"/>
  <c r="Q167" i="540"/>
  <c r="R167" i="540"/>
  <c r="H167" i="541"/>
  <c r="I167" i="541"/>
  <c r="J167" i="541"/>
  <c r="K167" i="541"/>
  <c r="L167" i="541"/>
  <c r="M167" i="541"/>
  <c r="N167" i="541"/>
  <c r="O167" i="541"/>
  <c r="P167" i="541"/>
  <c r="Q167" i="541"/>
  <c r="R167" i="541"/>
  <c r="H167" i="542"/>
  <c r="I167" i="542"/>
  <c r="J167" i="542"/>
  <c r="K167" i="542"/>
  <c r="L167" i="542"/>
  <c r="M167" i="542"/>
  <c r="N167" i="542"/>
  <c r="O167" i="542"/>
  <c r="P167" i="542"/>
  <c r="Q167" i="542"/>
  <c r="R167" i="542"/>
  <c r="H167" i="543"/>
  <c r="I167" i="543"/>
  <c r="J167" i="543"/>
  <c r="K167" i="543"/>
  <c r="L167" i="543"/>
  <c r="M167" i="543"/>
  <c r="N167" i="543"/>
  <c r="O167" i="543"/>
  <c r="P167" i="543"/>
  <c r="Q167" i="543"/>
  <c r="R167" i="543"/>
  <c r="H167" i="544"/>
  <c r="I167" i="544"/>
  <c r="J167" i="544"/>
  <c r="K167" i="544"/>
  <c r="L167" i="544"/>
  <c r="M167" i="544"/>
  <c r="N167" i="544"/>
  <c r="O167" i="544"/>
  <c r="P167" i="544"/>
  <c r="Q167" i="544"/>
  <c r="R167" i="544"/>
  <c r="H167" i="545"/>
  <c r="I167" i="545"/>
  <c r="J167" i="545"/>
  <c r="K167" i="545"/>
  <c r="L167" i="545"/>
  <c r="M167" i="545"/>
  <c r="N167" i="545"/>
  <c r="O167" i="545"/>
  <c r="P167" i="545"/>
  <c r="Q167" i="545"/>
  <c r="R167" i="545"/>
  <c r="H167" i="270"/>
  <c r="I167" i="270"/>
  <c r="J167" i="270"/>
  <c r="K167" i="270"/>
  <c r="L167" i="270"/>
  <c r="M167" i="270"/>
  <c r="N167" i="270"/>
  <c r="O167" i="270"/>
  <c r="P167" i="270"/>
  <c r="Q167" i="270"/>
  <c r="R167" i="270"/>
  <c r="H190" i="531"/>
  <c r="I190" i="531"/>
  <c r="J190" i="531"/>
  <c r="K190" i="531"/>
  <c r="L190" i="531"/>
  <c r="M190" i="531"/>
  <c r="N190" i="531"/>
  <c r="O190" i="531"/>
  <c r="P190" i="531"/>
  <c r="Q190" i="531"/>
  <c r="R190" i="531"/>
  <c r="H190" i="532"/>
  <c r="I190" i="532"/>
  <c r="J190" i="532"/>
  <c r="K190" i="532"/>
  <c r="L190" i="532"/>
  <c r="M190" i="532"/>
  <c r="N190" i="532"/>
  <c r="O190" i="532"/>
  <c r="P190" i="532"/>
  <c r="Q190" i="532"/>
  <c r="R190" i="532"/>
  <c r="H190" i="533"/>
  <c r="I190" i="533"/>
  <c r="J190" i="533"/>
  <c r="K190" i="533"/>
  <c r="L190" i="533"/>
  <c r="M190" i="533"/>
  <c r="N190" i="533"/>
  <c r="O190" i="533"/>
  <c r="P190" i="533"/>
  <c r="Q190" i="533"/>
  <c r="R190" i="533"/>
  <c r="H190" i="534"/>
  <c r="I190" i="534"/>
  <c r="J190" i="534"/>
  <c r="K190" i="534"/>
  <c r="L190" i="534"/>
  <c r="M190" i="534"/>
  <c r="N190" i="534"/>
  <c r="O190" i="534"/>
  <c r="P190" i="534"/>
  <c r="Q190" i="534"/>
  <c r="R190" i="534"/>
  <c r="H190" i="535"/>
  <c r="I190" i="535"/>
  <c r="J190" i="535"/>
  <c r="K190" i="535"/>
  <c r="L190" i="535"/>
  <c r="M190" i="535"/>
  <c r="N190" i="535"/>
  <c r="O190" i="535"/>
  <c r="P190" i="535"/>
  <c r="Q190" i="535"/>
  <c r="R190" i="535"/>
  <c r="H190" i="536"/>
  <c r="I190" i="536"/>
  <c r="J190" i="536"/>
  <c r="K190" i="536"/>
  <c r="L190" i="536"/>
  <c r="M190" i="536"/>
  <c r="N190" i="536"/>
  <c r="O190" i="536"/>
  <c r="P190" i="536"/>
  <c r="Q190" i="536"/>
  <c r="R190" i="536"/>
  <c r="H190" i="537"/>
  <c r="I190" i="537"/>
  <c r="J190" i="537"/>
  <c r="K190" i="537"/>
  <c r="L190" i="537"/>
  <c r="M190" i="537"/>
  <c r="N190" i="537"/>
  <c r="O190" i="537"/>
  <c r="P190" i="537"/>
  <c r="Q190" i="537"/>
  <c r="R190" i="537"/>
  <c r="H190" i="538"/>
  <c r="I190" i="538"/>
  <c r="J190" i="538"/>
  <c r="K190" i="538"/>
  <c r="L190" i="538"/>
  <c r="M190" i="538"/>
  <c r="N190" i="538"/>
  <c r="O190" i="538"/>
  <c r="P190" i="538"/>
  <c r="Q190" i="538"/>
  <c r="R190" i="538"/>
  <c r="H190" i="539"/>
  <c r="I190" i="539"/>
  <c r="J190" i="539"/>
  <c r="K190" i="539"/>
  <c r="L190" i="539"/>
  <c r="M190" i="539"/>
  <c r="N190" i="539"/>
  <c r="O190" i="539"/>
  <c r="P190" i="539"/>
  <c r="Q190" i="539"/>
  <c r="R190" i="539"/>
  <c r="H190" i="540"/>
  <c r="I190" i="540"/>
  <c r="J190" i="540"/>
  <c r="K190" i="540"/>
  <c r="L190" i="540"/>
  <c r="M190" i="540"/>
  <c r="N190" i="540"/>
  <c r="O190" i="540"/>
  <c r="P190" i="540"/>
  <c r="Q190" i="540"/>
  <c r="R190" i="540"/>
  <c r="H190" i="541"/>
  <c r="I190" i="541"/>
  <c r="J190" i="541"/>
  <c r="K190" i="541"/>
  <c r="L190" i="541"/>
  <c r="M190" i="541"/>
  <c r="N190" i="541"/>
  <c r="O190" i="541"/>
  <c r="P190" i="541"/>
  <c r="Q190" i="541"/>
  <c r="R190" i="541"/>
  <c r="H190" i="542"/>
  <c r="I190" i="542"/>
  <c r="J190" i="542"/>
  <c r="K190" i="542"/>
  <c r="L190" i="542"/>
  <c r="M190" i="542"/>
  <c r="N190" i="542"/>
  <c r="O190" i="542"/>
  <c r="P190" i="542"/>
  <c r="Q190" i="542"/>
  <c r="R190" i="542"/>
  <c r="H190" i="543"/>
  <c r="I190" i="543"/>
  <c r="J190" i="543"/>
  <c r="K190" i="543"/>
  <c r="L190" i="543"/>
  <c r="M190" i="543"/>
  <c r="N190" i="543"/>
  <c r="O190" i="543"/>
  <c r="P190" i="543"/>
  <c r="Q190" i="543"/>
  <c r="R190" i="543"/>
  <c r="H190" i="544"/>
  <c r="I190" i="544"/>
  <c r="J190" i="544"/>
  <c r="K190" i="544"/>
  <c r="L190" i="544"/>
  <c r="M190" i="544"/>
  <c r="N190" i="544"/>
  <c r="O190" i="544"/>
  <c r="P190" i="544"/>
  <c r="Q190" i="544"/>
  <c r="R190" i="544"/>
  <c r="H190" i="545"/>
  <c r="I190" i="545"/>
  <c r="J190" i="545"/>
  <c r="K190" i="545"/>
  <c r="L190" i="545"/>
  <c r="M190" i="545"/>
  <c r="N190" i="545"/>
  <c r="O190" i="545"/>
  <c r="P190" i="545"/>
  <c r="Q190" i="545"/>
  <c r="R190" i="545"/>
  <c r="H190" i="270"/>
  <c r="I190" i="270"/>
  <c r="J190" i="270"/>
  <c r="K190" i="270"/>
  <c r="L190" i="270"/>
  <c r="M190" i="270"/>
  <c r="N190" i="270"/>
  <c r="O190" i="270"/>
  <c r="P190" i="270"/>
  <c r="Q190" i="270"/>
  <c r="R190" i="270"/>
  <c r="G190" i="531"/>
  <c r="G190" i="532"/>
  <c r="G190" i="533"/>
  <c r="G190" i="534"/>
  <c r="G190" i="535"/>
  <c r="G190" i="536"/>
  <c r="G190" i="537"/>
  <c r="G190" i="538"/>
  <c r="G190" i="539"/>
  <c r="G190" i="540"/>
  <c r="G190" i="541"/>
  <c r="G190" i="542"/>
  <c r="G190" i="543"/>
  <c r="G190" i="544"/>
  <c r="G190" i="545"/>
  <c r="G190" i="270"/>
  <c r="G167" i="531"/>
  <c r="G167" i="532"/>
  <c r="G167" i="533"/>
  <c r="G167" i="534"/>
  <c r="G167" i="535"/>
  <c r="G167" i="536"/>
  <c r="G167" i="537"/>
  <c r="G167" i="538"/>
  <c r="G167" i="539"/>
  <c r="G167" i="540"/>
  <c r="G167" i="541"/>
  <c r="G167" i="542"/>
  <c r="G167" i="543"/>
  <c r="G167" i="544"/>
  <c r="G167" i="545"/>
  <c r="G167" i="270"/>
  <c r="G64" i="270"/>
  <c r="G65" i="270"/>
  <c r="G66" i="270"/>
  <c r="G67" i="270"/>
  <c r="G73" i="270"/>
  <c r="G93" i="270"/>
  <c r="G94" i="270"/>
  <c r="G95" i="270"/>
  <c r="G104" i="270"/>
  <c r="G105" i="270"/>
  <c r="D71" i="497"/>
  <c r="H69" i="270"/>
  <c r="H70" i="270"/>
  <c r="H71" i="270"/>
  <c r="H73" i="270"/>
  <c r="H93" i="270"/>
  <c r="H27" i="270"/>
  <c r="H94" i="270"/>
  <c r="H95" i="270"/>
  <c r="H104" i="270"/>
  <c r="H105" i="270"/>
  <c r="E71" i="497"/>
  <c r="I69" i="270"/>
  <c r="I70" i="270"/>
  <c r="I71" i="270"/>
  <c r="I73" i="270"/>
  <c r="I93" i="270"/>
  <c r="I27" i="270"/>
  <c r="I94" i="270"/>
  <c r="I95" i="270"/>
  <c r="I104" i="270"/>
  <c r="I105" i="270"/>
  <c r="F71" i="497"/>
  <c r="J69" i="270"/>
  <c r="J70" i="270"/>
  <c r="J71" i="270"/>
  <c r="J73" i="270"/>
  <c r="J93" i="270"/>
  <c r="J27" i="270"/>
  <c r="J94" i="270"/>
  <c r="J95" i="270"/>
  <c r="J104" i="270"/>
  <c r="J105" i="270"/>
  <c r="G71" i="497"/>
  <c r="K69" i="270"/>
  <c r="K70" i="270"/>
  <c r="K71" i="270"/>
  <c r="K73" i="270"/>
  <c r="K93" i="270"/>
  <c r="K27" i="270"/>
  <c r="K94" i="270"/>
  <c r="K95" i="270"/>
  <c r="K104" i="270"/>
  <c r="K105" i="270"/>
  <c r="H71" i="497"/>
  <c r="L69" i="270"/>
  <c r="L70" i="270"/>
  <c r="L71" i="270"/>
  <c r="L73" i="270"/>
  <c r="L93" i="270"/>
  <c r="L27" i="270"/>
  <c r="L94" i="270"/>
  <c r="L95" i="270"/>
  <c r="L104" i="270"/>
  <c r="L105" i="270"/>
  <c r="I71" i="497"/>
  <c r="M69" i="270"/>
  <c r="M70" i="270"/>
  <c r="M71" i="270"/>
  <c r="M73" i="270"/>
  <c r="M93" i="270"/>
  <c r="M27" i="270"/>
  <c r="M94" i="270"/>
  <c r="M95" i="270"/>
  <c r="M104" i="270"/>
  <c r="M105" i="270"/>
  <c r="J71" i="497"/>
  <c r="N69" i="270"/>
  <c r="N70" i="270"/>
  <c r="N71" i="270"/>
  <c r="N73" i="270"/>
  <c r="N93" i="270"/>
  <c r="N27" i="270"/>
  <c r="N94" i="270"/>
  <c r="N95" i="270"/>
  <c r="N104" i="270"/>
  <c r="N105" i="270"/>
  <c r="K71" i="497"/>
  <c r="O69" i="270"/>
  <c r="O70" i="270"/>
  <c r="O71" i="270"/>
  <c r="O73" i="270"/>
  <c r="O93" i="270"/>
  <c r="O27" i="270"/>
  <c r="O94" i="270"/>
  <c r="O95" i="270"/>
  <c r="O104" i="270"/>
  <c r="O105" i="270"/>
  <c r="L71" i="497"/>
  <c r="P69" i="270"/>
  <c r="P70" i="270"/>
  <c r="P71" i="270"/>
  <c r="H96" i="270"/>
  <c r="I96" i="270"/>
  <c r="J96" i="270"/>
  <c r="K96" i="270"/>
  <c r="P72" i="270"/>
  <c r="P73" i="270"/>
  <c r="P93" i="270"/>
  <c r="P27" i="270"/>
  <c r="P94" i="270"/>
  <c r="P95" i="270"/>
  <c r="P104" i="270"/>
  <c r="P105" i="270"/>
  <c r="M71" i="497"/>
  <c r="Q69" i="270"/>
  <c r="Q70" i="270"/>
  <c r="Q71" i="270"/>
  <c r="Q72" i="270"/>
  <c r="Q73" i="270"/>
  <c r="Q93" i="270"/>
  <c r="Q27" i="270"/>
  <c r="Q94" i="270"/>
  <c r="Q95" i="270"/>
  <c r="Q104" i="270"/>
  <c r="Q105" i="270"/>
  <c r="N71" i="497"/>
  <c r="R69" i="270"/>
  <c r="R70" i="270"/>
  <c r="R71" i="270"/>
  <c r="R38" i="270"/>
  <c r="R72" i="270"/>
  <c r="R73" i="270"/>
  <c r="R93" i="270"/>
  <c r="R27" i="270"/>
  <c r="R94" i="270"/>
  <c r="R95" i="270"/>
  <c r="R104" i="270"/>
  <c r="R105" i="270"/>
  <c r="O71" i="497"/>
  <c r="C71" i="497"/>
  <c r="D70" i="497"/>
  <c r="E70" i="497"/>
  <c r="F70" i="497"/>
  <c r="G70" i="497"/>
  <c r="H70" i="497"/>
  <c r="I70" i="497"/>
  <c r="J70" i="497"/>
  <c r="K70" i="497"/>
  <c r="L70" i="497"/>
  <c r="M70" i="497"/>
  <c r="N70" i="497"/>
  <c r="O70" i="497"/>
  <c r="C70" i="497"/>
  <c r="G103" i="270"/>
  <c r="D69" i="497"/>
  <c r="H5" i="270"/>
  <c r="H103" i="270"/>
  <c r="E69" i="497"/>
  <c r="I5" i="270"/>
  <c r="I103" i="270"/>
  <c r="F69" i="497"/>
  <c r="J5" i="270"/>
  <c r="J103" i="270"/>
  <c r="G69" i="497"/>
  <c r="K5" i="270"/>
  <c r="K103" i="270"/>
  <c r="H69" i="497"/>
  <c r="L5" i="270"/>
  <c r="L103" i="270"/>
  <c r="I69" i="497"/>
  <c r="M5" i="270"/>
  <c r="M103" i="270"/>
  <c r="J69" i="497"/>
  <c r="N5" i="270"/>
  <c r="N103" i="270"/>
  <c r="K69" i="497"/>
  <c r="O5" i="270"/>
  <c r="O103" i="270"/>
  <c r="L69" i="497"/>
  <c r="P5" i="270"/>
  <c r="P103" i="270"/>
  <c r="M69" i="497"/>
  <c r="Q5" i="270"/>
  <c r="Q103" i="270"/>
  <c r="N69" i="497"/>
  <c r="R5" i="270"/>
  <c r="R103" i="270"/>
  <c r="O69" i="497"/>
  <c r="C69" i="497"/>
  <c r="D68" i="497"/>
  <c r="E68" i="497"/>
  <c r="F68" i="497"/>
  <c r="G68" i="497"/>
  <c r="H68" i="497"/>
  <c r="I68" i="497"/>
  <c r="J68" i="497"/>
  <c r="K68" i="497"/>
  <c r="L68" i="497"/>
  <c r="M68" i="497"/>
  <c r="N68" i="497"/>
  <c r="O68" i="497"/>
  <c r="C68" i="497"/>
  <c r="G86" i="270"/>
  <c r="G74" i="270"/>
  <c r="G75" i="270"/>
  <c r="G76" i="270"/>
  <c r="G77" i="270"/>
  <c r="G78" i="270"/>
  <c r="G79" i="270"/>
  <c r="G80" i="270"/>
  <c r="G81" i="270"/>
  <c r="G82" i="270"/>
  <c r="G83" i="270"/>
  <c r="G84" i="270"/>
  <c r="G85" i="270"/>
  <c r="G87" i="270"/>
  <c r="G88" i="270"/>
  <c r="G89" i="270"/>
  <c r="G98" i="270"/>
  <c r="G99" i="270"/>
  <c r="G101" i="270"/>
  <c r="D67" i="497"/>
  <c r="H19" i="270"/>
  <c r="H86" i="270"/>
  <c r="H74" i="270"/>
  <c r="H75" i="270"/>
  <c r="H76" i="270"/>
  <c r="H77" i="270"/>
  <c r="H78" i="270"/>
  <c r="H79" i="270"/>
  <c r="H80" i="270"/>
  <c r="H81" i="270"/>
  <c r="H82" i="270"/>
  <c r="H83" i="270"/>
  <c r="H84" i="270"/>
  <c r="H85" i="270"/>
  <c r="H87" i="270"/>
  <c r="H88" i="270"/>
  <c r="H89" i="270"/>
  <c r="H98" i="270"/>
  <c r="H99" i="270"/>
  <c r="H101" i="270"/>
  <c r="E67" i="497"/>
  <c r="I19" i="270"/>
  <c r="I86" i="270"/>
  <c r="I74" i="270"/>
  <c r="I75" i="270"/>
  <c r="I76" i="270"/>
  <c r="I77" i="270"/>
  <c r="I78" i="270"/>
  <c r="I79" i="270"/>
  <c r="I80" i="270"/>
  <c r="I81" i="270"/>
  <c r="I82" i="270"/>
  <c r="I83" i="270"/>
  <c r="I84" i="270"/>
  <c r="I85" i="270"/>
  <c r="I87" i="270"/>
  <c r="I88" i="270"/>
  <c r="I89" i="270"/>
  <c r="I98" i="270"/>
  <c r="I99" i="270"/>
  <c r="I101" i="270"/>
  <c r="F67" i="497"/>
  <c r="J19" i="270"/>
  <c r="J86" i="270"/>
  <c r="J74" i="270"/>
  <c r="J75" i="270"/>
  <c r="J76" i="270"/>
  <c r="J77" i="270"/>
  <c r="J78" i="270"/>
  <c r="J79" i="270"/>
  <c r="J80" i="270"/>
  <c r="J81" i="270"/>
  <c r="J82" i="270"/>
  <c r="J83" i="270"/>
  <c r="J84" i="270"/>
  <c r="J85" i="270"/>
  <c r="J87" i="270"/>
  <c r="J88" i="270"/>
  <c r="J89" i="270"/>
  <c r="J98" i="270"/>
  <c r="J99" i="270"/>
  <c r="J101" i="270"/>
  <c r="G67" i="497"/>
  <c r="K19" i="270"/>
  <c r="K86" i="270"/>
  <c r="K74" i="270"/>
  <c r="K75" i="270"/>
  <c r="K76" i="270"/>
  <c r="K77" i="270"/>
  <c r="K78" i="270"/>
  <c r="K79" i="270"/>
  <c r="K80" i="270"/>
  <c r="K81" i="270"/>
  <c r="K82" i="270"/>
  <c r="K83" i="270"/>
  <c r="K84" i="270"/>
  <c r="K85" i="270"/>
  <c r="K87" i="270"/>
  <c r="K88" i="270"/>
  <c r="K89" i="270"/>
  <c r="K98" i="270"/>
  <c r="K99" i="270"/>
  <c r="K101" i="270"/>
  <c r="H67" i="497"/>
  <c r="L19" i="270"/>
  <c r="L86" i="270"/>
  <c r="L74" i="270"/>
  <c r="L75" i="270"/>
  <c r="L76" i="270"/>
  <c r="L77" i="270"/>
  <c r="L78" i="270"/>
  <c r="L79" i="270"/>
  <c r="L80" i="270"/>
  <c r="L81" i="270"/>
  <c r="L82" i="270"/>
  <c r="L83" i="270"/>
  <c r="L84" i="270"/>
  <c r="L85" i="270"/>
  <c r="L87" i="270"/>
  <c r="L88" i="270"/>
  <c r="L89" i="270"/>
  <c r="L98" i="270"/>
  <c r="L99" i="270"/>
  <c r="L101" i="270"/>
  <c r="I67" i="497"/>
  <c r="M19" i="270"/>
  <c r="M86" i="270"/>
  <c r="M74" i="270"/>
  <c r="M75" i="270"/>
  <c r="M76" i="270"/>
  <c r="M77" i="270"/>
  <c r="M78" i="270"/>
  <c r="M79" i="270"/>
  <c r="M80" i="270"/>
  <c r="M81" i="270"/>
  <c r="M82" i="270"/>
  <c r="M83" i="270"/>
  <c r="M84" i="270"/>
  <c r="M85" i="270"/>
  <c r="M87" i="270"/>
  <c r="M88" i="270"/>
  <c r="M89" i="270"/>
  <c r="M98" i="270"/>
  <c r="M99" i="270"/>
  <c r="M101" i="270"/>
  <c r="J67" i="497"/>
  <c r="N19" i="270"/>
  <c r="N86" i="270"/>
  <c r="N74" i="270"/>
  <c r="N75" i="270"/>
  <c r="N76" i="270"/>
  <c r="N77" i="270"/>
  <c r="N78" i="270"/>
  <c r="N79" i="270"/>
  <c r="N80" i="270"/>
  <c r="N81" i="270"/>
  <c r="N82" i="270"/>
  <c r="N83" i="270"/>
  <c r="N84" i="270"/>
  <c r="N85" i="270"/>
  <c r="N87" i="270"/>
  <c r="N88" i="270"/>
  <c r="N89" i="270"/>
  <c r="N98" i="270"/>
  <c r="N99" i="270"/>
  <c r="N101" i="270"/>
  <c r="K67" i="497"/>
  <c r="O19" i="270"/>
  <c r="O86" i="270"/>
  <c r="O74" i="270"/>
  <c r="O75" i="270"/>
  <c r="O76" i="270"/>
  <c r="O77" i="270"/>
  <c r="O78" i="270"/>
  <c r="O79" i="270"/>
  <c r="O80" i="270"/>
  <c r="O81" i="270"/>
  <c r="O82" i="270"/>
  <c r="O83" i="270"/>
  <c r="O84" i="270"/>
  <c r="O85" i="270"/>
  <c r="O87" i="270"/>
  <c r="O88" i="270"/>
  <c r="O89" i="270"/>
  <c r="O98" i="270"/>
  <c r="O99" i="270"/>
  <c r="O101" i="270"/>
  <c r="L67" i="497"/>
  <c r="P19" i="270"/>
  <c r="P86" i="270"/>
  <c r="P74" i="270"/>
  <c r="P75" i="270"/>
  <c r="P76" i="270"/>
  <c r="P77" i="270"/>
  <c r="P78" i="270"/>
  <c r="P79" i="270"/>
  <c r="P80" i="270"/>
  <c r="P81" i="270"/>
  <c r="P82" i="270"/>
  <c r="P83" i="270"/>
  <c r="P84" i="270"/>
  <c r="P85" i="270"/>
  <c r="P87" i="270"/>
  <c r="P88" i="270"/>
  <c r="P89" i="270"/>
  <c r="P98" i="270"/>
  <c r="P99" i="270"/>
  <c r="P101" i="270"/>
  <c r="M67" i="497"/>
  <c r="Q19" i="270"/>
  <c r="Q86" i="270"/>
  <c r="Q74" i="270"/>
  <c r="Q75" i="270"/>
  <c r="Q76" i="270"/>
  <c r="Q77" i="270"/>
  <c r="Q78" i="270"/>
  <c r="Q79" i="270"/>
  <c r="Q80" i="270"/>
  <c r="Q81" i="270"/>
  <c r="Q82" i="270"/>
  <c r="Q83" i="270"/>
  <c r="Q84" i="270"/>
  <c r="Q85" i="270"/>
  <c r="Q87" i="270"/>
  <c r="Q88" i="270"/>
  <c r="Q89" i="270"/>
  <c r="Q98" i="270"/>
  <c r="Q99" i="270"/>
  <c r="Q101" i="270"/>
  <c r="N67" i="497"/>
  <c r="R19" i="270"/>
  <c r="R86" i="270"/>
  <c r="R74" i="270"/>
  <c r="R75" i="270"/>
  <c r="R76" i="270"/>
  <c r="R77" i="270"/>
  <c r="R78" i="270"/>
  <c r="R79" i="270"/>
  <c r="R80" i="270"/>
  <c r="R81" i="270"/>
  <c r="R82" i="270"/>
  <c r="R83" i="270"/>
  <c r="R84" i="270"/>
  <c r="R85" i="270"/>
  <c r="R87" i="270"/>
  <c r="R88" i="270"/>
  <c r="R89" i="270"/>
  <c r="R98" i="270"/>
  <c r="R99" i="270"/>
  <c r="R101" i="270"/>
  <c r="O67" i="497"/>
  <c r="C67" i="497"/>
  <c r="G100" i="270"/>
  <c r="D66" i="497"/>
  <c r="H100" i="270"/>
  <c r="E66" i="497"/>
  <c r="I100" i="270"/>
  <c r="F66" i="497"/>
  <c r="J100" i="270"/>
  <c r="G66" i="497"/>
  <c r="K100" i="270"/>
  <c r="H66" i="497"/>
  <c r="L100" i="270"/>
  <c r="I66" i="497"/>
  <c r="M100" i="270"/>
  <c r="J66" i="497"/>
  <c r="N100" i="270"/>
  <c r="K66" i="497"/>
  <c r="O100" i="270"/>
  <c r="L66" i="497"/>
  <c r="P100" i="270"/>
  <c r="M66" i="497"/>
  <c r="Q100" i="270"/>
  <c r="N66" i="497"/>
  <c r="R100" i="270"/>
  <c r="O66" i="497"/>
  <c r="C66" i="497"/>
  <c r="D65" i="497"/>
  <c r="E65" i="497"/>
  <c r="F65" i="497"/>
  <c r="G65" i="497"/>
  <c r="H65" i="497"/>
  <c r="I65" i="497"/>
  <c r="J65" i="497"/>
  <c r="K65" i="497"/>
  <c r="L65" i="497"/>
  <c r="M65" i="497"/>
  <c r="N65" i="497"/>
  <c r="O65" i="497"/>
  <c r="C65" i="497"/>
  <c r="D64" i="497"/>
  <c r="E64" i="497"/>
  <c r="F64" i="497"/>
  <c r="G64" i="497"/>
  <c r="H64" i="497"/>
  <c r="I64" i="497"/>
  <c r="J64" i="497"/>
  <c r="K64" i="497"/>
  <c r="L64" i="497"/>
  <c r="M64" i="497"/>
  <c r="N64" i="497"/>
  <c r="O64" i="497"/>
  <c r="C64" i="497"/>
  <c r="D63" i="497"/>
  <c r="E63" i="497"/>
  <c r="F63" i="497"/>
  <c r="G63" i="497"/>
  <c r="H63" i="497"/>
  <c r="I63" i="497"/>
  <c r="J63" i="497"/>
  <c r="K63" i="497"/>
  <c r="L63" i="497"/>
  <c r="M63" i="497"/>
  <c r="N63" i="497"/>
  <c r="O63" i="497"/>
  <c r="C63" i="497"/>
  <c r="D62" i="497"/>
  <c r="E62" i="497"/>
  <c r="F62" i="497"/>
  <c r="G62" i="497"/>
  <c r="H62" i="497"/>
  <c r="I62" i="497"/>
  <c r="J62" i="497"/>
  <c r="K62" i="497"/>
  <c r="L62" i="497"/>
  <c r="M62" i="497"/>
  <c r="N62" i="497"/>
  <c r="O62" i="497"/>
  <c r="C62" i="497"/>
  <c r="D61" i="497"/>
  <c r="E61" i="497"/>
  <c r="F61" i="497"/>
  <c r="G61" i="497"/>
  <c r="H61" i="497"/>
  <c r="I61" i="497"/>
  <c r="J61" i="497"/>
  <c r="K61" i="497"/>
  <c r="L61" i="497"/>
  <c r="M61" i="497"/>
  <c r="N61" i="497"/>
  <c r="O61" i="497"/>
  <c r="C61" i="497"/>
  <c r="D60" i="497"/>
  <c r="E60" i="497"/>
  <c r="F60" i="497"/>
  <c r="G60" i="497"/>
  <c r="H60" i="497"/>
  <c r="I60" i="497"/>
  <c r="J60" i="497"/>
  <c r="K60" i="497"/>
  <c r="L60" i="497"/>
  <c r="M60" i="497"/>
  <c r="N60" i="497"/>
  <c r="O60" i="497"/>
  <c r="C60" i="497"/>
  <c r="D59" i="497"/>
  <c r="E59" i="497"/>
  <c r="F59" i="497"/>
  <c r="G59" i="497"/>
  <c r="H59" i="497"/>
  <c r="I59" i="497"/>
  <c r="J59" i="497"/>
  <c r="K59" i="497"/>
  <c r="L59" i="497"/>
  <c r="M59" i="497"/>
  <c r="N59" i="497"/>
  <c r="O59" i="497"/>
  <c r="C59" i="497"/>
  <c r="D58" i="497"/>
  <c r="E58" i="497"/>
  <c r="F58" i="497"/>
  <c r="G58" i="497"/>
  <c r="H58" i="497"/>
  <c r="I58" i="497"/>
  <c r="J58" i="497"/>
  <c r="K58" i="497"/>
  <c r="L58" i="497"/>
  <c r="M58" i="497"/>
  <c r="N58" i="497"/>
  <c r="O58" i="497"/>
  <c r="C58" i="497"/>
  <c r="D57" i="497"/>
  <c r="E57" i="497"/>
  <c r="F57" i="497"/>
  <c r="G57" i="497"/>
  <c r="H57" i="497"/>
  <c r="I57" i="497"/>
  <c r="J57" i="497"/>
  <c r="K57" i="497"/>
  <c r="L57" i="497"/>
  <c r="M57" i="497"/>
  <c r="N57" i="497"/>
  <c r="O57" i="497"/>
  <c r="C57" i="497"/>
  <c r="D56" i="497"/>
  <c r="E56" i="497"/>
  <c r="F56" i="497"/>
  <c r="G56" i="497"/>
  <c r="H56" i="497"/>
  <c r="I56" i="497"/>
  <c r="J56" i="497"/>
  <c r="K56" i="497"/>
  <c r="L56" i="497"/>
  <c r="M56" i="497"/>
  <c r="N56" i="497"/>
  <c r="O56" i="497"/>
  <c r="C56" i="497"/>
  <c r="D55" i="497"/>
  <c r="E55" i="497"/>
  <c r="F55" i="497"/>
  <c r="G55" i="497"/>
  <c r="H55" i="497"/>
  <c r="I55" i="497"/>
  <c r="J55" i="497"/>
  <c r="K55" i="497"/>
  <c r="L55" i="497"/>
  <c r="M55" i="497"/>
  <c r="N55" i="497"/>
  <c r="O55" i="497"/>
  <c r="C55" i="497"/>
  <c r="D54" i="497"/>
  <c r="E54" i="497"/>
  <c r="F54" i="497"/>
  <c r="G54" i="497"/>
  <c r="H54" i="497"/>
  <c r="I54" i="497"/>
  <c r="J54" i="497"/>
  <c r="K54" i="497"/>
  <c r="L54" i="497"/>
  <c r="M54" i="497"/>
  <c r="N54" i="497"/>
  <c r="O54" i="497"/>
  <c r="C54" i="497"/>
  <c r="D53" i="497"/>
  <c r="E53" i="497"/>
  <c r="F53" i="497"/>
  <c r="G53" i="497"/>
  <c r="H53" i="497"/>
  <c r="I53" i="497"/>
  <c r="J53" i="497"/>
  <c r="K53" i="497"/>
  <c r="L53" i="497"/>
  <c r="M53" i="497"/>
  <c r="N53" i="497"/>
  <c r="O53" i="497"/>
  <c r="C53" i="497"/>
  <c r="D52" i="497"/>
  <c r="E52" i="497"/>
  <c r="F52" i="497"/>
  <c r="G52" i="497"/>
  <c r="H52" i="497"/>
  <c r="I52" i="497"/>
  <c r="J52" i="497"/>
  <c r="K52" i="497"/>
  <c r="L52" i="497"/>
  <c r="M52" i="497"/>
  <c r="N52" i="497"/>
  <c r="O52" i="497"/>
  <c r="C52" i="497"/>
  <c r="D51" i="497"/>
  <c r="E51" i="497"/>
  <c r="F51" i="497"/>
  <c r="G51" i="497"/>
  <c r="H51" i="497"/>
  <c r="I51" i="497"/>
  <c r="J51" i="497"/>
  <c r="K51" i="497"/>
  <c r="L51" i="497"/>
  <c r="M51" i="497"/>
  <c r="N51" i="497"/>
  <c r="O51" i="497"/>
  <c r="C51" i="497"/>
  <c r="D50" i="497"/>
  <c r="E50" i="497"/>
  <c r="F50" i="497"/>
  <c r="G50" i="497"/>
  <c r="H50" i="497"/>
  <c r="I50" i="497"/>
  <c r="J50" i="497"/>
  <c r="K50" i="497"/>
  <c r="L50" i="497"/>
  <c r="M50" i="497"/>
  <c r="N50" i="497"/>
  <c r="O50" i="497"/>
  <c r="C50" i="497"/>
  <c r="D49" i="497"/>
  <c r="E49" i="497"/>
  <c r="F49" i="497"/>
  <c r="G49" i="497"/>
  <c r="H49" i="497"/>
  <c r="I49" i="497"/>
  <c r="J49" i="497"/>
  <c r="K49" i="497"/>
  <c r="L49" i="497"/>
  <c r="M49" i="497"/>
  <c r="N49" i="497"/>
  <c r="O49" i="497"/>
  <c r="C49" i="497"/>
  <c r="D48" i="497"/>
  <c r="E48" i="497"/>
  <c r="F48" i="497"/>
  <c r="G48" i="497"/>
  <c r="H48" i="497"/>
  <c r="I48" i="497"/>
  <c r="J48" i="497"/>
  <c r="K48" i="497"/>
  <c r="L48" i="497"/>
  <c r="M48" i="497"/>
  <c r="N48" i="497"/>
  <c r="O48" i="497"/>
  <c r="C48" i="497"/>
  <c r="D47" i="497"/>
  <c r="E47" i="497"/>
  <c r="F47" i="497"/>
  <c r="G47" i="497"/>
  <c r="H47" i="497"/>
  <c r="I47" i="497"/>
  <c r="J47" i="497"/>
  <c r="K47" i="497"/>
  <c r="L47" i="497"/>
  <c r="M47" i="497"/>
  <c r="N47" i="497"/>
  <c r="O47" i="497"/>
  <c r="C47" i="497"/>
  <c r="D46" i="497"/>
  <c r="E46" i="497"/>
  <c r="F46" i="497"/>
  <c r="G46" i="497"/>
  <c r="H46" i="497"/>
  <c r="I46" i="497"/>
  <c r="J46" i="497"/>
  <c r="K46" i="497"/>
  <c r="L46" i="497"/>
  <c r="M46" i="497"/>
  <c r="N46" i="497"/>
  <c r="O46" i="497"/>
  <c r="C46" i="497"/>
  <c r="D45" i="497"/>
  <c r="E45" i="497"/>
  <c r="F45" i="497"/>
  <c r="G45" i="497"/>
  <c r="H45" i="497"/>
  <c r="I45" i="497"/>
  <c r="J45" i="497"/>
  <c r="K45" i="497"/>
  <c r="L45" i="497"/>
  <c r="M45" i="497"/>
  <c r="N45" i="497"/>
  <c r="O45" i="497"/>
  <c r="C45" i="497"/>
  <c r="D44" i="497"/>
  <c r="E44" i="497"/>
  <c r="F44" i="497"/>
  <c r="G44" i="497"/>
  <c r="H44" i="497"/>
  <c r="I44" i="497"/>
  <c r="J44" i="497"/>
  <c r="K44" i="497"/>
  <c r="L44" i="497"/>
  <c r="M44" i="497"/>
  <c r="N44" i="497"/>
  <c r="O44" i="497"/>
  <c r="C44" i="497"/>
  <c r="D43" i="497"/>
  <c r="E43" i="497"/>
  <c r="F43" i="497"/>
  <c r="G43" i="497"/>
  <c r="H43" i="497"/>
  <c r="I43" i="497"/>
  <c r="J43" i="497"/>
  <c r="K43" i="497"/>
  <c r="L43" i="497"/>
  <c r="M43" i="497"/>
  <c r="N43" i="497"/>
  <c r="O43" i="497"/>
  <c r="C43" i="497"/>
  <c r="D42" i="497"/>
  <c r="E42" i="497"/>
  <c r="F42" i="497"/>
  <c r="G42" i="497"/>
  <c r="H42" i="497"/>
  <c r="I42" i="497"/>
  <c r="J42" i="497"/>
  <c r="K42" i="497"/>
  <c r="L42" i="497"/>
  <c r="M42" i="497"/>
  <c r="N42" i="497"/>
  <c r="O42" i="497"/>
  <c r="C42" i="497"/>
  <c r="D41" i="497"/>
  <c r="E41" i="497"/>
  <c r="F41" i="497"/>
  <c r="G41" i="497"/>
  <c r="H41" i="497"/>
  <c r="I41" i="497"/>
  <c r="J41" i="497"/>
  <c r="K41" i="497"/>
  <c r="L41" i="497"/>
  <c r="M41" i="497"/>
  <c r="N41" i="497"/>
  <c r="O41" i="497"/>
  <c r="C41" i="497"/>
  <c r="D40" i="497"/>
  <c r="E40" i="497"/>
  <c r="F40" i="497"/>
  <c r="G40" i="497"/>
  <c r="H40" i="497"/>
  <c r="I40" i="497"/>
  <c r="J40" i="497"/>
  <c r="K40" i="497"/>
  <c r="L40" i="497"/>
  <c r="M40" i="497"/>
  <c r="N40" i="497"/>
  <c r="O40" i="497"/>
  <c r="C40" i="497"/>
  <c r="D39" i="497"/>
  <c r="E39" i="497"/>
  <c r="F39" i="497"/>
  <c r="G39" i="497"/>
  <c r="H39" i="497"/>
  <c r="I39" i="497"/>
  <c r="J39" i="497"/>
  <c r="K39" i="497"/>
  <c r="L39" i="497"/>
  <c r="M39" i="497"/>
  <c r="N39" i="497"/>
  <c r="O39" i="497"/>
  <c r="C39" i="497"/>
  <c r="D38" i="497"/>
  <c r="E38" i="497"/>
  <c r="F38" i="497"/>
  <c r="G38" i="497"/>
  <c r="H38" i="497"/>
  <c r="I38" i="497"/>
  <c r="J38" i="497"/>
  <c r="K38" i="497"/>
  <c r="L38" i="497"/>
  <c r="M38" i="497"/>
  <c r="N38" i="497"/>
  <c r="O38" i="497"/>
  <c r="C38" i="497"/>
  <c r="D37" i="497"/>
  <c r="E37" i="497"/>
  <c r="F37" i="497"/>
  <c r="G37" i="497"/>
  <c r="H37" i="497"/>
  <c r="I37" i="497"/>
  <c r="J37" i="497"/>
  <c r="K37" i="497"/>
  <c r="L37" i="497"/>
  <c r="M37" i="497"/>
  <c r="N37" i="497"/>
  <c r="O37" i="497"/>
  <c r="C37" i="497"/>
  <c r="D36" i="497"/>
  <c r="E36" i="497"/>
  <c r="F36" i="497"/>
  <c r="G36" i="497"/>
  <c r="H36" i="497"/>
  <c r="I36" i="497"/>
  <c r="J36" i="497"/>
  <c r="K36" i="497"/>
  <c r="L36" i="497"/>
  <c r="M36" i="497"/>
  <c r="N36" i="497"/>
  <c r="O36" i="497"/>
  <c r="C36" i="497"/>
  <c r="D35" i="497"/>
  <c r="E35" i="497"/>
  <c r="F35" i="497"/>
  <c r="G35" i="497"/>
  <c r="H35" i="497"/>
  <c r="I35" i="497"/>
  <c r="J35" i="497"/>
  <c r="K35" i="497"/>
  <c r="L35" i="497"/>
  <c r="M35" i="497"/>
  <c r="N35" i="497"/>
  <c r="O35" i="497"/>
  <c r="C35" i="497"/>
  <c r="D34" i="497"/>
  <c r="E34" i="497"/>
  <c r="F34" i="497"/>
  <c r="G34" i="497"/>
  <c r="H34" i="497"/>
  <c r="I34" i="497"/>
  <c r="J34" i="497"/>
  <c r="K34" i="497"/>
  <c r="L34" i="497"/>
  <c r="M34" i="497"/>
  <c r="N34" i="497"/>
  <c r="O34" i="497"/>
  <c r="C34" i="497"/>
  <c r="D33" i="497"/>
  <c r="E33" i="497"/>
  <c r="F33" i="497"/>
  <c r="G33" i="497"/>
  <c r="H33" i="497"/>
  <c r="I33" i="497"/>
  <c r="J33" i="497"/>
  <c r="K33" i="497"/>
  <c r="L33" i="497"/>
  <c r="M33" i="497"/>
  <c r="N33" i="497"/>
  <c r="O33" i="497"/>
  <c r="C33" i="497"/>
  <c r="D32" i="497"/>
  <c r="E32" i="497"/>
  <c r="F32" i="497"/>
  <c r="G32" i="497"/>
  <c r="H32" i="497"/>
  <c r="I32" i="497"/>
  <c r="J32" i="497"/>
  <c r="K32" i="497"/>
  <c r="L32" i="497"/>
  <c r="M32" i="497"/>
  <c r="N32" i="497"/>
  <c r="O32" i="497"/>
  <c r="C32" i="497"/>
  <c r="D31" i="497"/>
  <c r="E31" i="497"/>
  <c r="F31" i="497"/>
  <c r="G31" i="497"/>
  <c r="H31" i="497"/>
  <c r="I31" i="497"/>
  <c r="J31" i="497"/>
  <c r="K31" i="497"/>
  <c r="L31" i="497"/>
  <c r="M31" i="497"/>
  <c r="N31" i="497"/>
  <c r="O31" i="497"/>
  <c r="C31" i="497"/>
  <c r="D30" i="497"/>
  <c r="E30" i="497"/>
  <c r="F30" i="497"/>
  <c r="G30" i="497"/>
  <c r="H30" i="497"/>
  <c r="I30" i="497"/>
  <c r="J30" i="497"/>
  <c r="K30" i="497"/>
  <c r="L30" i="497"/>
  <c r="M30" i="497"/>
  <c r="N30" i="497"/>
  <c r="O30" i="497"/>
  <c r="C30" i="497"/>
  <c r="D29" i="497"/>
  <c r="E29" i="497"/>
  <c r="F29" i="497"/>
  <c r="G29" i="497"/>
  <c r="H29" i="497"/>
  <c r="I29" i="497"/>
  <c r="J29" i="497"/>
  <c r="K29" i="497"/>
  <c r="L29" i="497"/>
  <c r="M29" i="497"/>
  <c r="N29" i="497"/>
  <c r="O29" i="497"/>
  <c r="C29" i="497"/>
  <c r="D28" i="497"/>
  <c r="E28" i="497"/>
  <c r="F28" i="497"/>
  <c r="G28" i="497"/>
  <c r="H28" i="497"/>
  <c r="I28" i="497"/>
  <c r="J28" i="497"/>
  <c r="K28" i="497"/>
  <c r="L28" i="497"/>
  <c r="M28" i="497"/>
  <c r="N28" i="497"/>
  <c r="O28" i="497"/>
  <c r="C28" i="497"/>
  <c r="D27" i="497"/>
  <c r="E27" i="497"/>
  <c r="F27" i="497"/>
  <c r="G27" i="497"/>
  <c r="H27" i="497"/>
  <c r="I27" i="497"/>
  <c r="J27" i="497"/>
  <c r="K27" i="497"/>
  <c r="L27" i="497"/>
  <c r="M27" i="497"/>
  <c r="N27" i="497"/>
  <c r="O27" i="497"/>
  <c r="C27" i="497"/>
  <c r="D26" i="497"/>
  <c r="E26" i="497"/>
  <c r="F26" i="497"/>
  <c r="G26" i="497"/>
  <c r="H26" i="497"/>
  <c r="I26" i="497"/>
  <c r="J26" i="497"/>
  <c r="K26" i="497"/>
  <c r="L26" i="497"/>
  <c r="M26" i="497"/>
  <c r="N26" i="497"/>
  <c r="O26" i="497"/>
  <c r="C26" i="497"/>
  <c r="D25" i="497"/>
  <c r="E25" i="497"/>
  <c r="F25" i="497"/>
  <c r="G25" i="497"/>
  <c r="H25" i="497"/>
  <c r="I25" i="497"/>
  <c r="J25" i="497"/>
  <c r="K25" i="497"/>
  <c r="L25" i="497"/>
  <c r="M25" i="497"/>
  <c r="N25" i="497"/>
  <c r="O25" i="497"/>
  <c r="C25" i="497"/>
  <c r="D24" i="497"/>
  <c r="E24" i="497"/>
  <c r="F24" i="497"/>
  <c r="G24" i="497"/>
  <c r="H24" i="497"/>
  <c r="I24" i="497"/>
  <c r="J24" i="497"/>
  <c r="K24" i="497"/>
  <c r="L24" i="497"/>
  <c r="M24" i="497"/>
  <c r="N24" i="497"/>
  <c r="O24" i="497"/>
  <c r="C24" i="497"/>
  <c r="D23" i="497"/>
  <c r="E23" i="497"/>
  <c r="F23" i="497"/>
  <c r="G23" i="497"/>
  <c r="H23" i="497"/>
  <c r="I23" i="497"/>
  <c r="J23" i="497"/>
  <c r="K23" i="497"/>
  <c r="L23" i="497"/>
  <c r="M23" i="497"/>
  <c r="N23" i="497"/>
  <c r="O23" i="497"/>
  <c r="C23" i="497"/>
  <c r="D22" i="497"/>
  <c r="E22" i="497"/>
  <c r="F22" i="497"/>
  <c r="G22" i="497"/>
  <c r="H22" i="497"/>
  <c r="I22" i="497"/>
  <c r="J22" i="497"/>
  <c r="K22" i="497"/>
  <c r="L22" i="497"/>
  <c r="M22" i="497"/>
  <c r="N22" i="497"/>
  <c r="O22" i="497"/>
  <c r="C22" i="497"/>
  <c r="D21" i="497"/>
  <c r="E21" i="497"/>
  <c r="F21" i="497"/>
  <c r="G21" i="497"/>
  <c r="H21" i="497"/>
  <c r="I21" i="497"/>
  <c r="J21" i="497"/>
  <c r="K21" i="497"/>
  <c r="L21" i="497"/>
  <c r="M21" i="497"/>
  <c r="N21" i="497"/>
  <c r="O21" i="497"/>
  <c r="C21" i="497"/>
  <c r="D20" i="497"/>
  <c r="E20" i="497"/>
  <c r="F20" i="497"/>
  <c r="G20" i="497"/>
  <c r="H20" i="497"/>
  <c r="I20" i="497"/>
  <c r="J20" i="497"/>
  <c r="K20" i="497"/>
  <c r="L20" i="497"/>
  <c r="M20" i="497"/>
  <c r="N20" i="497"/>
  <c r="O20" i="497"/>
  <c r="C20" i="497"/>
  <c r="D19" i="497"/>
  <c r="E19" i="497"/>
  <c r="F19" i="497"/>
  <c r="G19" i="497"/>
  <c r="H19" i="497"/>
  <c r="I19" i="497"/>
  <c r="J19" i="497"/>
  <c r="K19" i="497"/>
  <c r="L19" i="497"/>
  <c r="M19" i="497"/>
  <c r="N19" i="497"/>
  <c r="O19" i="497"/>
  <c r="C19" i="497"/>
  <c r="D18" i="497"/>
  <c r="E18" i="497"/>
  <c r="F18" i="497"/>
  <c r="G18" i="497"/>
  <c r="H18" i="497"/>
  <c r="I18" i="497"/>
  <c r="J18" i="497"/>
  <c r="K18" i="497"/>
  <c r="L18" i="497"/>
  <c r="M18" i="497"/>
  <c r="N18" i="497"/>
  <c r="O18" i="497"/>
  <c r="C18" i="497"/>
  <c r="D17" i="497"/>
  <c r="E17" i="497"/>
  <c r="F17" i="497"/>
  <c r="G17" i="497"/>
  <c r="H17" i="497"/>
  <c r="I17" i="497"/>
  <c r="J17" i="497"/>
  <c r="K17" i="497"/>
  <c r="L17" i="497"/>
  <c r="M17" i="497"/>
  <c r="N17" i="497"/>
  <c r="O17" i="497"/>
  <c r="C17" i="497"/>
  <c r="D16" i="497"/>
  <c r="E16" i="497"/>
  <c r="F16" i="497"/>
  <c r="G16" i="497"/>
  <c r="H16" i="497"/>
  <c r="I16" i="497"/>
  <c r="J16" i="497"/>
  <c r="K16" i="497"/>
  <c r="L16" i="497"/>
  <c r="M16" i="497"/>
  <c r="N16" i="497"/>
  <c r="O16" i="497"/>
  <c r="C16" i="497"/>
  <c r="D15" i="497"/>
  <c r="E15" i="497"/>
  <c r="F15" i="497"/>
  <c r="G15" i="497"/>
  <c r="H15" i="497"/>
  <c r="I15" i="497"/>
  <c r="J15" i="497"/>
  <c r="K15" i="497"/>
  <c r="L15" i="497"/>
  <c r="M15" i="497"/>
  <c r="N15" i="497"/>
  <c r="O15" i="497"/>
  <c r="C15" i="497"/>
  <c r="D14" i="497"/>
  <c r="E14" i="497"/>
  <c r="F14" i="497"/>
  <c r="G14" i="497"/>
  <c r="H14" i="497"/>
  <c r="I14" i="497"/>
  <c r="J14" i="497"/>
  <c r="K14" i="497"/>
  <c r="L14" i="497"/>
  <c r="M14" i="497"/>
  <c r="N14" i="497"/>
  <c r="O14" i="497"/>
  <c r="C14" i="497"/>
  <c r="D13" i="497"/>
  <c r="E13" i="497"/>
  <c r="F13" i="497"/>
  <c r="G13" i="497"/>
  <c r="H13" i="497"/>
  <c r="I13" i="497"/>
  <c r="J13" i="497"/>
  <c r="K13" i="497"/>
  <c r="L13" i="497"/>
  <c r="M13" i="497"/>
  <c r="N13" i="497"/>
  <c r="O13" i="497"/>
  <c r="C13" i="497"/>
  <c r="D12" i="497"/>
  <c r="E12" i="497"/>
  <c r="F12" i="497"/>
  <c r="G12" i="497"/>
  <c r="H12" i="497"/>
  <c r="I12" i="497"/>
  <c r="J12" i="497"/>
  <c r="K12" i="497"/>
  <c r="L12" i="497"/>
  <c r="M12" i="497"/>
  <c r="N12" i="497"/>
  <c r="O12" i="497"/>
  <c r="C12" i="497"/>
  <c r="D11" i="497"/>
  <c r="E11" i="497"/>
  <c r="F11" i="497"/>
  <c r="G11" i="497"/>
  <c r="H11" i="497"/>
  <c r="I11" i="497"/>
  <c r="J11" i="497"/>
  <c r="K11" i="497"/>
  <c r="L11" i="497"/>
  <c r="M11" i="497"/>
  <c r="N11" i="497"/>
  <c r="O11" i="497"/>
  <c r="C11" i="497"/>
  <c r="B73" i="497"/>
  <c r="B72" i="497"/>
  <c r="D53" i="499"/>
  <c r="E53" i="499"/>
  <c r="F53" i="499"/>
  <c r="G53" i="499"/>
  <c r="H53" i="499"/>
  <c r="I53" i="499"/>
  <c r="J53" i="499"/>
  <c r="K53" i="499"/>
  <c r="L53" i="499"/>
  <c r="M53" i="499"/>
  <c r="N53" i="499"/>
  <c r="O53" i="499"/>
  <c r="P53" i="499"/>
  <c r="Q53" i="499"/>
  <c r="R53" i="499"/>
  <c r="S53" i="499"/>
  <c r="C53" i="499"/>
  <c r="B74" i="499"/>
  <c r="D36" i="499"/>
  <c r="E36" i="499"/>
  <c r="F36" i="499"/>
  <c r="G36" i="499"/>
  <c r="H36" i="499"/>
  <c r="I36" i="499"/>
  <c r="J36" i="499"/>
  <c r="K36" i="499"/>
  <c r="L36" i="499"/>
  <c r="M36" i="499"/>
  <c r="N36" i="499"/>
  <c r="O36" i="499"/>
  <c r="P36" i="499"/>
  <c r="Q36" i="499"/>
  <c r="R36" i="499"/>
  <c r="S36" i="499"/>
  <c r="C36" i="499"/>
  <c r="D37" i="499"/>
  <c r="E37" i="499"/>
  <c r="F37" i="499"/>
  <c r="G37" i="499"/>
  <c r="H37" i="499"/>
  <c r="I37" i="499"/>
  <c r="J37" i="499"/>
  <c r="K37" i="499"/>
  <c r="L37" i="499"/>
  <c r="M37" i="499"/>
  <c r="N37" i="499"/>
  <c r="O37" i="499"/>
  <c r="P37" i="499"/>
  <c r="Q37" i="499"/>
  <c r="R37" i="499"/>
  <c r="S37" i="499"/>
  <c r="C37" i="499"/>
  <c r="B73" i="499"/>
  <c r="D6" i="497"/>
  <c r="C72" i="497"/>
  <c r="C73" i="497"/>
  <c r="B12" i="497"/>
  <c r="B13" i="497"/>
  <c r="B14" i="497"/>
  <c r="B15" i="497"/>
  <c r="B16" i="497"/>
  <c r="B17" i="497"/>
  <c r="B18" i="497"/>
  <c r="B19" i="497"/>
  <c r="B20" i="497"/>
  <c r="B21" i="497"/>
  <c r="B22" i="497"/>
  <c r="B23" i="497"/>
  <c r="B24" i="497"/>
  <c r="B25" i="497"/>
  <c r="B26" i="497"/>
  <c r="B27" i="497"/>
  <c r="B28" i="497"/>
  <c r="B29" i="497"/>
  <c r="B30" i="497"/>
  <c r="B31" i="497"/>
  <c r="B32" i="497"/>
  <c r="B33" i="497"/>
  <c r="B34" i="497"/>
  <c r="B35" i="497"/>
  <c r="B36" i="497"/>
  <c r="B37" i="497"/>
  <c r="B38" i="497"/>
  <c r="B39" i="497"/>
  <c r="B40" i="497"/>
  <c r="B41" i="497"/>
  <c r="B42" i="497"/>
  <c r="B43" i="497"/>
  <c r="B44" i="497"/>
  <c r="B45" i="497"/>
  <c r="B46" i="497"/>
  <c r="B47" i="497"/>
  <c r="B48" i="497"/>
  <c r="B49" i="497"/>
  <c r="B50" i="497"/>
  <c r="B51" i="497"/>
  <c r="B52" i="497"/>
  <c r="B53" i="497"/>
  <c r="B54" i="497"/>
  <c r="B55" i="497"/>
  <c r="B56" i="497"/>
  <c r="B57" i="497"/>
  <c r="B58" i="497"/>
  <c r="B59" i="497"/>
  <c r="B60" i="497"/>
  <c r="B61" i="497"/>
  <c r="B62" i="497"/>
  <c r="B63" i="497"/>
  <c r="B64" i="497"/>
  <c r="B65" i="497"/>
  <c r="B66" i="497"/>
  <c r="B67" i="497"/>
  <c r="B68" i="497"/>
  <c r="B69" i="497"/>
  <c r="B70" i="497"/>
  <c r="B71" i="497"/>
  <c r="A65" i="497"/>
  <c r="A66" i="497"/>
  <c r="A67" i="497"/>
  <c r="A68" i="497"/>
  <c r="A69" i="497"/>
  <c r="A70" i="497"/>
  <c r="A71" i="497"/>
  <c r="D72" i="499"/>
  <c r="E72" i="499"/>
  <c r="F72" i="499"/>
  <c r="G72" i="499"/>
  <c r="H72" i="499"/>
  <c r="I72" i="499"/>
  <c r="J72" i="499"/>
  <c r="K72" i="499"/>
  <c r="L72" i="499"/>
  <c r="M72" i="499"/>
  <c r="N72" i="499"/>
  <c r="O72" i="499"/>
  <c r="P72" i="499"/>
  <c r="Q72" i="499"/>
  <c r="R72" i="499"/>
  <c r="S72" i="499"/>
  <c r="T72" i="499"/>
  <c r="E12" i="499"/>
  <c r="F12" i="499"/>
  <c r="G12" i="499"/>
  <c r="H12" i="499"/>
  <c r="I12" i="499"/>
  <c r="J12" i="499"/>
  <c r="K12" i="499"/>
  <c r="L12" i="499"/>
  <c r="M12" i="499"/>
  <c r="N12" i="499"/>
  <c r="O12" i="499"/>
  <c r="P12" i="499"/>
  <c r="Q12" i="499"/>
  <c r="R12" i="499"/>
  <c r="S12" i="499"/>
  <c r="E13" i="499"/>
  <c r="F13" i="499"/>
  <c r="G13" i="499"/>
  <c r="H13" i="499"/>
  <c r="I13" i="499"/>
  <c r="J13" i="499"/>
  <c r="K13" i="499"/>
  <c r="L13" i="499"/>
  <c r="M13" i="499"/>
  <c r="N13" i="499"/>
  <c r="O13" i="499"/>
  <c r="P13" i="499"/>
  <c r="Q13" i="499"/>
  <c r="R13" i="499"/>
  <c r="S13" i="499"/>
  <c r="E14" i="499"/>
  <c r="F14" i="499"/>
  <c r="G14" i="499"/>
  <c r="H14" i="499"/>
  <c r="I14" i="499"/>
  <c r="J14" i="499"/>
  <c r="K14" i="499"/>
  <c r="L14" i="499"/>
  <c r="M14" i="499"/>
  <c r="N14" i="499"/>
  <c r="O14" i="499"/>
  <c r="P14" i="499"/>
  <c r="Q14" i="499"/>
  <c r="R14" i="499"/>
  <c r="S14" i="499"/>
  <c r="E15" i="499"/>
  <c r="F15" i="499"/>
  <c r="G15" i="499"/>
  <c r="H15" i="499"/>
  <c r="I15" i="499"/>
  <c r="J15" i="499"/>
  <c r="K15" i="499"/>
  <c r="L15" i="499"/>
  <c r="M15" i="499"/>
  <c r="N15" i="499"/>
  <c r="O15" i="499"/>
  <c r="P15" i="499"/>
  <c r="Q15" i="499"/>
  <c r="R15" i="499"/>
  <c r="S15" i="499"/>
  <c r="E16" i="499"/>
  <c r="F16" i="499"/>
  <c r="G16" i="499"/>
  <c r="H16" i="499"/>
  <c r="I16" i="499"/>
  <c r="J16" i="499"/>
  <c r="K16" i="499"/>
  <c r="L16" i="499"/>
  <c r="M16" i="499"/>
  <c r="N16" i="499"/>
  <c r="O16" i="499"/>
  <c r="P16" i="499"/>
  <c r="Q16" i="499"/>
  <c r="R16" i="499"/>
  <c r="S16" i="499"/>
  <c r="E17" i="499"/>
  <c r="F17" i="499"/>
  <c r="G17" i="499"/>
  <c r="H17" i="499"/>
  <c r="I17" i="499"/>
  <c r="J17" i="499"/>
  <c r="K17" i="499"/>
  <c r="L17" i="499"/>
  <c r="M17" i="499"/>
  <c r="N17" i="499"/>
  <c r="O17" i="499"/>
  <c r="P17" i="499"/>
  <c r="Q17" i="499"/>
  <c r="R17" i="499"/>
  <c r="S17" i="499"/>
  <c r="E18" i="499"/>
  <c r="F18" i="499"/>
  <c r="G18" i="499"/>
  <c r="H18" i="499"/>
  <c r="I18" i="499"/>
  <c r="J18" i="499"/>
  <c r="K18" i="499"/>
  <c r="L18" i="499"/>
  <c r="M18" i="499"/>
  <c r="N18" i="499"/>
  <c r="O18" i="499"/>
  <c r="P18" i="499"/>
  <c r="Q18" i="499"/>
  <c r="R18" i="499"/>
  <c r="S18" i="499"/>
  <c r="E19" i="499"/>
  <c r="F19" i="499"/>
  <c r="G19" i="499"/>
  <c r="H19" i="499"/>
  <c r="I19" i="499"/>
  <c r="J19" i="499"/>
  <c r="K19" i="499"/>
  <c r="L19" i="499"/>
  <c r="M19" i="499"/>
  <c r="N19" i="499"/>
  <c r="O19" i="499"/>
  <c r="P19" i="499"/>
  <c r="Q19" i="499"/>
  <c r="R19" i="499"/>
  <c r="S19" i="499"/>
  <c r="E20" i="499"/>
  <c r="F20" i="499"/>
  <c r="G20" i="499"/>
  <c r="H20" i="499"/>
  <c r="I20" i="499"/>
  <c r="J20" i="499"/>
  <c r="K20" i="499"/>
  <c r="L20" i="499"/>
  <c r="M20" i="499"/>
  <c r="N20" i="499"/>
  <c r="O20" i="499"/>
  <c r="P20" i="499"/>
  <c r="Q20" i="499"/>
  <c r="R20" i="499"/>
  <c r="S20" i="499"/>
  <c r="E21" i="499"/>
  <c r="F21" i="499"/>
  <c r="G21" i="499"/>
  <c r="H21" i="499"/>
  <c r="I21" i="499"/>
  <c r="J21" i="499"/>
  <c r="K21" i="499"/>
  <c r="L21" i="499"/>
  <c r="M21" i="499"/>
  <c r="N21" i="499"/>
  <c r="O21" i="499"/>
  <c r="P21" i="499"/>
  <c r="Q21" i="499"/>
  <c r="R21" i="499"/>
  <c r="S21" i="499"/>
  <c r="E22" i="499"/>
  <c r="F22" i="499"/>
  <c r="G22" i="499"/>
  <c r="H22" i="499"/>
  <c r="I22" i="499"/>
  <c r="J22" i="499"/>
  <c r="K22" i="499"/>
  <c r="L22" i="499"/>
  <c r="M22" i="499"/>
  <c r="N22" i="499"/>
  <c r="O22" i="499"/>
  <c r="P22" i="499"/>
  <c r="Q22" i="499"/>
  <c r="R22" i="499"/>
  <c r="S22" i="499"/>
  <c r="E23" i="499"/>
  <c r="F23" i="499"/>
  <c r="G23" i="499"/>
  <c r="H23" i="499"/>
  <c r="I23" i="499"/>
  <c r="J23" i="499"/>
  <c r="K23" i="499"/>
  <c r="L23" i="499"/>
  <c r="M23" i="499"/>
  <c r="N23" i="499"/>
  <c r="O23" i="499"/>
  <c r="P23" i="499"/>
  <c r="Q23" i="499"/>
  <c r="R23" i="499"/>
  <c r="S23" i="499"/>
  <c r="E24" i="499"/>
  <c r="F24" i="499"/>
  <c r="G24" i="499"/>
  <c r="H24" i="499"/>
  <c r="I24" i="499"/>
  <c r="J24" i="499"/>
  <c r="K24" i="499"/>
  <c r="L24" i="499"/>
  <c r="M24" i="499"/>
  <c r="N24" i="499"/>
  <c r="O24" i="499"/>
  <c r="P24" i="499"/>
  <c r="Q24" i="499"/>
  <c r="R24" i="499"/>
  <c r="S24" i="499"/>
  <c r="E25" i="499"/>
  <c r="F25" i="499"/>
  <c r="G25" i="499"/>
  <c r="H25" i="499"/>
  <c r="I25" i="499"/>
  <c r="J25" i="499"/>
  <c r="K25" i="499"/>
  <c r="L25" i="499"/>
  <c r="M25" i="499"/>
  <c r="N25" i="499"/>
  <c r="O25" i="499"/>
  <c r="P25" i="499"/>
  <c r="Q25" i="499"/>
  <c r="R25" i="499"/>
  <c r="S25" i="499"/>
  <c r="E26" i="499"/>
  <c r="F26" i="499"/>
  <c r="G26" i="499"/>
  <c r="H26" i="499"/>
  <c r="I26" i="499"/>
  <c r="J26" i="499"/>
  <c r="K26" i="499"/>
  <c r="L26" i="499"/>
  <c r="M26" i="499"/>
  <c r="N26" i="499"/>
  <c r="O26" i="499"/>
  <c r="P26" i="499"/>
  <c r="Q26" i="499"/>
  <c r="R26" i="499"/>
  <c r="S26" i="499"/>
  <c r="E27" i="499"/>
  <c r="F27" i="499"/>
  <c r="G27" i="499"/>
  <c r="H27" i="499"/>
  <c r="I27" i="499"/>
  <c r="J27" i="499"/>
  <c r="K27" i="499"/>
  <c r="L27" i="499"/>
  <c r="M27" i="499"/>
  <c r="N27" i="499"/>
  <c r="O27" i="499"/>
  <c r="P27" i="499"/>
  <c r="Q27" i="499"/>
  <c r="R27" i="499"/>
  <c r="S27" i="499"/>
  <c r="E28" i="499"/>
  <c r="F28" i="499"/>
  <c r="G28" i="499"/>
  <c r="H28" i="499"/>
  <c r="I28" i="499"/>
  <c r="J28" i="499"/>
  <c r="K28" i="499"/>
  <c r="L28" i="499"/>
  <c r="M28" i="499"/>
  <c r="N28" i="499"/>
  <c r="O28" i="499"/>
  <c r="P28" i="499"/>
  <c r="Q28" i="499"/>
  <c r="R28" i="499"/>
  <c r="S28" i="499"/>
  <c r="E29" i="499"/>
  <c r="F29" i="499"/>
  <c r="G29" i="499"/>
  <c r="H29" i="499"/>
  <c r="I29" i="499"/>
  <c r="J29" i="499"/>
  <c r="K29" i="499"/>
  <c r="L29" i="499"/>
  <c r="M29" i="499"/>
  <c r="N29" i="499"/>
  <c r="O29" i="499"/>
  <c r="P29" i="499"/>
  <c r="Q29" i="499"/>
  <c r="R29" i="499"/>
  <c r="S29" i="499"/>
  <c r="E30" i="499"/>
  <c r="F30" i="499"/>
  <c r="G30" i="499"/>
  <c r="H30" i="499"/>
  <c r="I30" i="499"/>
  <c r="J30" i="499"/>
  <c r="K30" i="499"/>
  <c r="L30" i="499"/>
  <c r="M30" i="499"/>
  <c r="N30" i="499"/>
  <c r="O30" i="499"/>
  <c r="P30" i="499"/>
  <c r="Q30" i="499"/>
  <c r="R30" i="499"/>
  <c r="S30" i="499"/>
  <c r="E31" i="499"/>
  <c r="F31" i="499"/>
  <c r="G31" i="499"/>
  <c r="H31" i="499"/>
  <c r="I31" i="499"/>
  <c r="J31" i="499"/>
  <c r="K31" i="499"/>
  <c r="L31" i="499"/>
  <c r="M31" i="499"/>
  <c r="N31" i="499"/>
  <c r="O31" i="499"/>
  <c r="P31" i="499"/>
  <c r="Q31" i="499"/>
  <c r="R31" i="499"/>
  <c r="S31" i="499"/>
  <c r="E32" i="499"/>
  <c r="F32" i="499"/>
  <c r="G32" i="499"/>
  <c r="H32" i="499"/>
  <c r="I32" i="499"/>
  <c r="J32" i="499"/>
  <c r="K32" i="499"/>
  <c r="L32" i="499"/>
  <c r="M32" i="499"/>
  <c r="N32" i="499"/>
  <c r="O32" i="499"/>
  <c r="P32" i="499"/>
  <c r="Q32" i="499"/>
  <c r="R32" i="499"/>
  <c r="S32" i="499"/>
  <c r="E33" i="499"/>
  <c r="F33" i="499"/>
  <c r="G33" i="499"/>
  <c r="H33" i="499"/>
  <c r="I33" i="499"/>
  <c r="J33" i="499"/>
  <c r="K33" i="499"/>
  <c r="L33" i="499"/>
  <c r="M33" i="499"/>
  <c r="N33" i="499"/>
  <c r="O33" i="499"/>
  <c r="P33" i="499"/>
  <c r="Q33" i="499"/>
  <c r="R33" i="499"/>
  <c r="S33" i="499"/>
  <c r="E34" i="499"/>
  <c r="F34" i="499"/>
  <c r="G34" i="499"/>
  <c r="H34" i="499"/>
  <c r="I34" i="499"/>
  <c r="J34" i="499"/>
  <c r="K34" i="499"/>
  <c r="L34" i="499"/>
  <c r="M34" i="499"/>
  <c r="N34" i="499"/>
  <c r="O34" i="499"/>
  <c r="P34" i="499"/>
  <c r="Q34" i="499"/>
  <c r="R34" i="499"/>
  <c r="S34" i="499"/>
  <c r="E35" i="499"/>
  <c r="F35" i="499"/>
  <c r="G35" i="499"/>
  <c r="H35" i="499"/>
  <c r="I35" i="499"/>
  <c r="J35" i="499"/>
  <c r="K35" i="499"/>
  <c r="L35" i="499"/>
  <c r="M35" i="499"/>
  <c r="N35" i="499"/>
  <c r="O35" i="499"/>
  <c r="P35" i="499"/>
  <c r="Q35" i="499"/>
  <c r="R35" i="499"/>
  <c r="S35" i="499"/>
  <c r="E38" i="499"/>
  <c r="F38" i="499"/>
  <c r="G38" i="499"/>
  <c r="H38" i="499"/>
  <c r="I38" i="499"/>
  <c r="J38" i="499"/>
  <c r="K38" i="499"/>
  <c r="L38" i="499"/>
  <c r="M38" i="499"/>
  <c r="N38" i="499"/>
  <c r="O38" i="499"/>
  <c r="P38" i="499"/>
  <c r="Q38" i="499"/>
  <c r="R38" i="499"/>
  <c r="S38" i="499"/>
  <c r="E39" i="499"/>
  <c r="F39" i="499"/>
  <c r="G39" i="499"/>
  <c r="H39" i="499"/>
  <c r="I39" i="499"/>
  <c r="J39" i="499"/>
  <c r="K39" i="499"/>
  <c r="L39" i="499"/>
  <c r="M39" i="499"/>
  <c r="N39" i="499"/>
  <c r="O39" i="499"/>
  <c r="P39" i="499"/>
  <c r="Q39" i="499"/>
  <c r="R39" i="499"/>
  <c r="S39" i="499"/>
  <c r="E40" i="499"/>
  <c r="F40" i="499"/>
  <c r="G40" i="499"/>
  <c r="H40" i="499"/>
  <c r="I40" i="499"/>
  <c r="J40" i="499"/>
  <c r="K40" i="499"/>
  <c r="L40" i="499"/>
  <c r="M40" i="499"/>
  <c r="N40" i="499"/>
  <c r="O40" i="499"/>
  <c r="P40" i="499"/>
  <c r="Q40" i="499"/>
  <c r="R40" i="499"/>
  <c r="S40" i="499"/>
  <c r="E41" i="499"/>
  <c r="F41" i="499"/>
  <c r="G41" i="499"/>
  <c r="H41" i="499"/>
  <c r="I41" i="499"/>
  <c r="J41" i="499"/>
  <c r="K41" i="499"/>
  <c r="L41" i="499"/>
  <c r="M41" i="499"/>
  <c r="N41" i="499"/>
  <c r="O41" i="499"/>
  <c r="P41" i="499"/>
  <c r="Q41" i="499"/>
  <c r="R41" i="499"/>
  <c r="S41" i="499"/>
  <c r="E42" i="499"/>
  <c r="F42" i="499"/>
  <c r="G42" i="499"/>
  <c r="H42" i="499"/>
  <c r="I42" i="499"/>
  <c r="J42" i="499"/>
  <c r="K42" i="499"/>
  <c r="L42" i="499"/>
  <c r="M42" i="499"/>
  <c r="N42" i="499"/>
  <c r="O42" i="499"/>
  <c r="P42" i="499"/>
  <c r="Q42" i="499"/>
  <c r="R42" i="499"/>
  <c r="S42" i="499"/>
  <c r="E43" i="499"/>
  <c r="F43" i="499"/>
  <c r="G43" i="499"/>
  <c r="H43" i="499"/>
  <c r="I43" i="499"/>
  <c r="J43" i="499"/>
  <c r="K43" i="499"/>
  <c r="L43" i="499"/>
  <c r="M43" i="499"/>
  <c r="N43" i="499"/>
  <c r="O43" i="499"/>
  <c r="P43" i="499"/>
  <c r="Q43" i="499"/>
  <c r="R43" i="499"/>
  <c r="S43" i="499"/>
  <c r="E44" i="499"/>
  <c r="F44" i="499"/>
  <c r="G44" i="499"/>
  <c r="H44" i="499"/>
  <c r="I44" i="499"/>
  <c r="J44" i="499"/>
  <c r="K44" i="499"/>
  <c r="L44" i="499"/>
  <c r="M44" i="499"/>
  <c r="N44" i="499"/>
  <c r="O44" i="499"/>
  <c r="P44" i="499"/>
  <c r="Q44" i="499"/>
  <c r="R44" i="499"/>
  <c r="S44" i="499"/>
  <c r="E45" i="499"/>
  <c r="F45" i="499"/>
  <c r="G45" i="499"/>
  <c r="H45" i="499"/>
  <c r="I45" i="499"/>
  <c r="J45" i="499"/>
  <c r="K45" i="499"/>
  <c r="L45" i="499"/>
  <c r="M45" i="499"/>
  <c r="N45" i="499"/>
  <c r="O45" i="499"/>
  <c r="P45" i="499"/>
  <c r="Q45" i="499"/>
  <c r="R45" i="499"/>
  <c r="S45" i="499"/>
  <c r="E46" i="499"/>
  <c r="F46" i="499"/>
  <c r="G46" i="499"/>
  <c r="H46" i="499"/>
  <c r="I46" i="499"/>
  <c r="J46" i="499"/>
  <c r="K46" i="499"/>
  <c r="L46" i="499"/>
  <c r="M46" i="499"/>
  <c r="N46" i="499"/>
  <c r="O46" i="499"/>
  <c r="P46" i="499"/>
  <c r="Q46" i="499"/>
  <c r="R46" i="499"/>
  <c r="S46" i="499"/>
  <c r="E47" i="499"/>
  <c r="F47" i="499"/>
  <c r="G47" i="499"/>
  <c r="H47" i="499"/>
  <c r="I47" i="499"/>
  <c r="J47" i="499"/>
  <c r="K47" i="499"/>
  <c r="L47" i="499"/>
  <c r="M47" i="499"/>
  <c r="N47" i="499"/>
  <c r="O47" i="499"/>
  <c r="P47" i="499"/>
  <c r="Q47" i="499"/>
  <c r="R47" i="499"/>
  <c r="S47" i="499"/>
  <c r="E48" i="499"/>
  <c r="F48" i="499"/>
  <c r="G48" i="499"/>
  <c r="H48" i="499"/>
  <c r="I48" i="499"/>
  <c r="J48" i="499"/>
  <c r="K48" i="499"/>
  <c r="L48" i="499"/>
  <c r="M48" i="499"/>
  <c r="N48" i="499"/>
  <c r="O48" i="499"/>
  <c r="P48" i="499"/>
  <c r="Q48" i="499"/>
  <c r="R48" i="499"/>
  <c r="S48" i="499"/>
  <c r="E49" i="499"/>
  <c r="F49" i="499"/>
  <c r="G49" i="499"/>
  <c r="H49" i="499"/>
  <c r="I49" i="499"/>
  <c r="J49" i="499"/>
  <c r="K49" i="499"/>
  <c r="L49" i="499"/>
  <c r="M49" i="499"/>
  <c r="N49" i="499"/>
  <c r="O49" i="499"/>
  <c r="P49" i="499"/>
  <c r="Q49" i="499"/>
  <c r="R49" i="499"/>
  <c r="S49" i="499"/>
  <c r="E50" i="499"/>
  <c r="F50" i="499"/>
  <c r="G50" i="499"/>
  <c r="H50" i="499"/>
  <c r="I50" i="499"/>
  <c r="J50" i="499"/>
  <c r="K50" i="499"/>
  <c r="L50" i="499"/>
  <c r="M50" i="499"/>
  <c r="N50" i="499"/>
  <c r="O50" i="499"/>
  <c r="P50" i="499"/>
  <c r="Q50" i="499"/>
  <c r="R50" i="499"/>
  <c r="S50" i="499"/>
  <c r="E51" i="499"/>
  <c r="F51" i="499"/>
  <c r="G51" i="499"/>
  <c r="H51" i="499"/>
  <c r="I51" i="499"/>
  <c r="J51" i="499"/>
  <c r="K51" i="499"/>
  <c r="L51" i="499"/>
  <c r="M51" i="499"/>
  <c r="N51" i="499"/>
  <c r="O51" i="499"/>
  <c r="P51" i="499"/>
  <c r="Q51" i="499"/>
  <c r="R51" i="499"/>
  <c r="S51" i="499"/>
  <c r="E52" i="499"/>
  <c r="F52" i="499"/>
  <c r="G52" i="499"/>
  <c r="H52" i="499"/>
  <c r="I52" i="499"/>
  <c r="J52" i="499"/>
  <c r="K52" i="499"/>
  <c r="L52" i="499"/>
  <c r="M52" i="499"/>
  <c r="N52" i="499"/>
  <c r="O52" i="499"/>
  <c r="P52" i="499"/>
  <c r="Q52" i="499"/>
  <c r="R52" i="499"/>
  <c r="S52" i="499"/>
  <c r="E54" i="499"/>
  <c r="F54" i="499"/>
  <c r="G54" i="499"/>
  <c r="H54" i="499"/>
  <c r="I54" i="499"/>
  <c r="J54" i="499"/>
  <c r="K54" i="499"/>
  <c r="L54" i="499"/>
  <c r="M54" i="499"/>
  <c r="N54" i="499"/>
  <c r="O54" i="499"/>
  <c r="P54" i="499"/>
  <c r="Q54" i="499"/>
  <c r="R54" i="499"/>
  <c r="S54" i="499"/>
  <c r="E55" i="499"/>
  <c r="F55" i="499"/>
  <c r="G55" i="499"/>
  <c r="H55" i="499"/>
  <c r="I55" i="499"/>
  <c r="J55" i="499"/>
  <c r="K55" i="499"/>
  <c r="L55" i="499"/>
  <c r="M55" i="499"/>
  <c r="N55" i="499"/>
  <c r="O55" i="499"/>
  <c r="P55" i="499"/>
  <c r="Q55" i="499"/>
  <c r="R55" i="499"/>
  <c r="S55" i="499"/>
  <c r="E56" i="499"/>
  <c r="F56" i="499"/>
  <c r="G56" i="499"/>
  <c r="H56" i="499"/>
  <c r="I56" i="499"/>
  <c r="J56" i="499"/>
  <c r="K56" i="499"/>
  <c r="L56" i="499"/>
  <c r="M56" i="499"/>
  <c r="N56" i="499"/>
  <c r="O56" i="499"/>
  <c r="P56" i="499"/>
  <c r="Q56" i="499"/>
  <c r="R56" i="499"/>
  <c r="S56" i="499"/>
  <c r="E57" i="499"/>
  <c r="F57" i="499"/>
  <c r="G57" i="499"/>
  <c r="H57" i="499"/>
  <c r="I57" i="499"/>
  <c r="J57" i="499"/>
  <c r="K57" i="499"/>
  <c r="L57" i="499"/>
  <c r="M57" i="499"/>
  <c r="N57" i="499"/>
  <c r="O57" i="499"/>
  <c r="P57" i="499"/>
  <c r="Q57" i="499"/>
  <c r="R57" i="499"/>
  <c r="S57" i="499"/>
  <c r="E58" i="499"/>
  <c r="F58" i="499"/>
  <c r="G58" i="499"/>
  <c r="H58" i="499"/>
  <c r="I58" i="499"/>
  <c r="J58" i="499"/>
  <c r="K58" i="499"/>
  <c r="L58" i="499"/>
  <c r="M58" i="499"/>
  <c r="N58" i="499"/>
  <c r="O58" i="499"/>
  <c r="P58" i="499"/>
  <c r="Q58" i="499"/>
  <c r="R58" i="499"/>
  <c r="S58" i="499"/>
  <c r="E59" i="499"/>
  <c r="F59" i="499"/>
  <c r="G59" i="499"/>
  <c r="H59" i="499"/>
  <c r="I59" i="499"/>
  <c r="J59" i="499"/>
  <c r="K59" i="499"/>
  <c r="L59" i="499"/>
  <c r="M59" i="499"/>
  <c r="N59" i="499"/>
  <c r="O59" i="499"/>
  <c r="P59" i="499"/>
  <c r="Q59" i="499"/>
  <c r="R59" i="499"/>
  <c r="S59" i="499"/>
  <c r="E60" i="499"/>
  <c r="F60" i="499"/>
  <c r="G60" i="499"/>
  <c r="H60" i="499"/>
  <c r="I60" i="499"/>
  <c r="J60" i="499"/>
  <c r="K60" i="499"/>
  <c r="L60" i="499"/>
  <c r="M60" i="499"/>
  <c r="N60" i="499"/>
  <c r="O60" i="499"/>
  <c r="P60" i="499"/>
  <c r="Q60" i="499"/>
  <c r="R60" i="499"/>
  <c r="S60" i="499"/>
  <c r="E61" i="499"/>
  <c r="F61" i="499"/>
  <c r="G61" i="499"/>
  <c r="H61" i="499"/>
  <c r="I61" i="499"/>
  <c r="J61" i="499"/>
  <c r="K61" i="499"/>
  <c r="L61" i="499"/>
  <c r="M61" i="499"/>
  <c r="N61" i="499"/>
  <c r="O61" i="499"/>
  <c r="P61" i="499"/>
  <c r="Q61" i="499"/>
  <c r="R61" i="499"/>
  <c r="S61" i="499"/>
  <c r="E62" i="499"/>
  <c r="F62" i="499"/>
  <c r="G62" i="499"/>
  <c r="H62" i="499"/>
  <c r="I62" i="499"/>
  <c r="J62" i="499"/>
  <c r="K62" i="499"/>
  <c r="L62" i="499"/>
  <c r="M62" i="499"/>
  <c r="N62" i="499"/>
  <c r="O62" i="499"/>
  <c r="P62" i="499"/>
  <c r="Q62" i="499"/>
  <c r="R62" i="499"/>
  <c r="S62" i="499"/>
  <c r="E63" i="499"/>
  <c r="F63" i="499"/>
  <c r="G63" i="499"/>
  <c r="H63" i="499"/>
  <c r="I63" i="499"/>
  <c r="J63" i="499"/>
  <c r="K63" i="499"/>
  <c r="L63" i="499"/>
  <c r="M63" i="499"/>
  <c r="N63" i="499"/>
  <c r="O63" i="499"/>
  <c r="P63" i="499"/>
  <c r="Q63" i="499"/>
  <c r="R63" i="499"/>
  <c r="S63" i="499"/>
  <c r="E64" i="499"/>
  <c r="F64" i="499"/>
  <c r="G64" i="499"/>
  <c r="H64" i="499"/>
  <c r="I64" i="499"/>
  <c r="J64" i="499"/>
  <c r="K64" i="499"/>
  <c r="L64" i="499"/>
  <c r="M64" i="499"/>
  <c r="N64" i="499"/>
  <c r="O64" i="499"/>
  <c r="P64" i="499"/>
  <c r="Q64" i="499"/>
  <c r="R64" i="499"/>
  <c r="S64" i="499"/>
  <c r="E65" i="499"/>
  <c r="F65" i="499"/>
  <c r="G65" i="499"/>
  <c r="H65" i="499"/>
  <c r="I65" i="499"/>
  <c r="J65" i="499"/>
  <c r="K65" i="499"/>
  <c r="L65" i="499"/>
  <c r="M65" i="499"/>
  <c r="N65" i="499"/>
  <c r="O65" i="499"/>
  <c r="P65" i="499"/>
  <c r="Q65" i="499"/>
  <c r="R65" i="499"/>
  <c r="S65" i="499"/>
  <c r="E66" i="499"/>
  <c r="F66" i="499"/>
  <c r="G66" i="499"/>
  <c r="H66" i="499"/>
  <c r="I66" i="499"/>
  <c r="J66" i="499"/>
  <c r="K66" i="499"/>
  <c r="L66" i="499"/>
  <c r="M66" i="499"/>
  <c r="N66" i="499"/>
  <c r="O66" i="499"/>
  <c r="P66" i="499"/>
  <c r="Q66" i="499"/>
  <c r="R66" i="499"/>
  <c r="S66" i="499"/>
  <c r="E67" i="499"/>
  <c r="F67" i="499"/>
  <c r="G67" i="499"/>
  <c r="H67" i="499"/>
  <c r="I67" i="499"/>
  <c r="J67" i="499"/>
  <c r="K67" i="499"/>
  <c r="L67" i="499"/>
  <c r="M67" i="499"/>
  <c r="N67" i="499"/>
  <c r="O67" i="499"/>
  <c r="P67" i="499"/>
  <c r="Q67" i="499"/>
  <c r="R67" i="499"/>
  <c r="S67" i="499"/>
  <c r="E68" i="499"/>
  <c r="F68" i="499"/>
  <c r="G68" i="499"/>
  <c r="H68" i="499"/>
  <c r="I68" i="499"/>
  <c r="J68" i="499"/>
  <c r="K68" i="499"/>
  <c r="L68" i="499"/>
  <c r="M68" i="499"/>
  <c r="N68" i="499"/>
  <c r="O68" i="499"/>
  <c r="P68" i="499"/>
  <c r="Q68" i="499"/>
  <c r="R68" i="499"/>
  <c r="S68" i="499"/>
  <c r="E69" i="499"/>
  <c r="F69" i="499"/>
  <c r="G69" i="499"/>
  <c r="H69" i="499"/>
  <c r="I69" i="499"/>
  <c r="J69" i="499"/>
  <c r="K69" i="499"/>
  <c r="L69" i="499"/>
  <c r="M69" i="499"/>
  <c r="N69" i="499"/>
  <c r="O69" i="499"/>
  <c r="P69" i="499"/>
  <c r="Q69" i="499"/>
  <c r="R69" i="499"/>
  <c r="S69" i="499"/>
  <c r="E70" i="499"/>
  <c r="F70" i="499"/>
  <c r="G70" i="499"/>
  <c r="H70" i="499"/>
  <c r="I70" i="499"/>
  <c r="J70" i="499"/>
  <c r="K70" i="499"/>
  <c r="L70" i="499"/>
  <c r="M70" i="499"/>
  <c r="N70" i="499"/>
  <c r="O70" i="499"/>
  <c r="P70" i="499"/>
  <c r="Q70" i="499"/>
  <c r="R70" i="499"/>
  <c r="S70" i="499"/>
  <c r="E71" i="499"/>
  <c r="F71" i="499"/>
  <c r="G71" i="499"/>
  <c r="H71" i="499"/>
  <c r="I71" i="499"/>
  <c r="J71" i="499"/>
  <c r="K71" i="499"/>
  <c r="L71" i="499"/>
  <c r="M71" i="499"/>
  <c r="N71" i="499"/>
  <c r="O71" i="499"/>
  <c r="P71" i="499"/>
  <c r="Q71" i="499"/>
  <c r="R71" i="499"/>
  <c r="S71" i="499"/>
  <c r="D12" i="499"/>
  <c r="D13" i="499"/>
  <c r="D14" i="499"/>
  <c r="D15" i="499"/>
  <c r="D16" i="499"/>
  <c r="D17" i="499"/>
  <c r="D18" i="499"/>
  <c r="D19" i="499"/>
  <c r="D20" i="499"/>
  <c r="D21" i="499"/>
  <c r="D22" i="499"/>
  <c r="D23" i="499"/>
  <c r="D24" i="499"/>
  <c r="D25" i="499"/>
  <c r="D26" i="499"/>
  <c r="D27" i="499"/>
  <c r="D28" i="499"/>
  <c r="D29" i="499"/>
  <c r="D30" i="499"/>
  <c r="D31" i="499"/>
  <c r="D32" i="499"/>
  <c r="D33" i="499"/>
  <c r="D34" i="499"/>
  <c r="D35" i="499"/>
  <c r="D38" i="499"/>
  <c r="D39" i="499"/>
  <c r="D40" i="499"/>
  <c r="D41" i="499"/>
  <c r="D42" i="499"/>
  <c r="D43" i="499"/>
  <c r="D44" i="499"/>
  <c r="D45" i="499"/>
  <c r="D46" i="499"/>
  <c r="D47" i="499"/>
  <c r="D48" i="499"/>
  <c r="D49" i="499"/>
  <c r="D50" i="499"/>
  <c r="D51" i="499"/>
  <c r="D52" i="499"/>
  <c r="D54" i="499"/>
  <c r="D55" i="499"/>
  <c r="D56" i="499"/>
  <c r="D57" i="499"/>
  <c r="D58" i="499"/>
  <c r="D59" i="499"/>
  <c r="D60" i="499"/>
  <c r="D61" i="499"/>
  <c r="D62" i="499"/>
  <c r="D63" i="499"/>
  <c r="D64" i="499"/>
  <c r="D65" i="499"/>
  <c r="D66" i="499"/>
  <c r="D67" i="499"/>
  <c r="D68" i="499"/>
  <c r="D69" i="499"/>
  <c r="D70" i="499"/>
  <c r="D71" i="499"/>
  <c r="C72" i="499"/>
  <c r="E38" i="235"/>
  <c r="G171" i="270"/>
  <c r="D38" i="235"/>
  <c r="C38" i="235"/>
  <c r="B13" i="499"/>
  <c r="B14" i="499"/>
  <c r="B15" i="499"/>
  <c r="B16" i="499"/>
  <c r="B17" i="499"/>
  <c r="B18" i="499"/>
  <c r="B19" i="499"/>
  <c r="B20" i="499"/>
  <c r="B21" i="499"/>
  <c r="B22" i="499"/>
  <c r="B23" i="499"/>
  <c r="B24" i="499"/>
  <c r="B25" i="499"/>
  <c r="B26" i="499"/>
  <c r="B27" i="499"/>
  <c r="B28" i="499"/>
  <c r="B29" i="499"/>
  <c r="B30" i="499"/>
  <c r="B31" i="499"/>
  <c r="B32" i="499"/>
  <c r="B33" i="499"/>
  <c r="B34" i="499"/>
  <c r="B35" i="499"/>
  <c r="B36" i="499"/>
  <c r="B37" i="499"/>
  <c r="B38" i="499"/>
  <c r="B39" i="499"/>
  <c r="B40" i="499"/>
  <c r="B41" i="499"/>
  <c r="B42" i="499"/>
  <c r="B43" i="499"/>
  <c r="B44" i="499"/>
  <c r="B45" i="499"/>
  <c r="B46" i="499"/>
  <c r="B47" i="499"/>
  <c r="B48" i="499"/>
  <c r="B49" i="499"/>
  <c r="B50" i="499"/>
  <c r="B51" i="499"/>
  <c r="B52" i="499"/>
  <c r="B53" i="499"/>
  <c r="B54" i="499"/>
  <c r="B55" i="499"/>
  <c r="B56" i="499"/>
  <c r="B57" i="499"/>
  <c r="B58" i="499"/>
  <c r="B59" i="499"/>
  <c r="B60" i="499"/>
  <c r="B61" i="499"/>
  <c r="B62" i="499"/>
  <c r="B63" i="499"/>
  <c r="B64" i="499"/>
  <c r="B65" i="499"/>
  <c r="B66" i="499"/>
  <c r="B67" i="499"/>
  <c r="B68" i="499"/>
  <c r="B69" i="499"/>
  <c r="B70" i="499"/>
  <c r="B71" i="499"/>
  <c r="B72" i="499"/>
  <c r="A66" i="499"/>
  <c r="A67" i="499"/>
  <c r="A68" i="499"/>
  <c r="A69" i="499"/>
  <c r="A70" i="499"/>
  <c r="A71" i="499"/>
  <c r="A72" i="499"/>
  <c r="A67" i="235"/>
  <c r="A68" i="235"/>
  <c r="A69" i="235"/>
  <c r="A70" i="235"/>
  <c r="A71" i="235"/>
  <c r="A72" i="235"/>
  <c r="A66" i="235"/>
  <c r="B39" i="235"/>
  <c r="B38" i="235"/>
  <c r="S71" i="531"/>
  <c r="S71" i="532"/>
  <c r="S71" i="533"/>
  <c r="S71" i="534"/>
  <c r="S71" i="535"/>
  <c r="S71" i="536"/>
  <c r="S71" i="537"/>
  <c r="S71" i="538"/>
  <c r="S71" i="539"/>
  <c r="S71" i="540"/>
  <c r="S71" i="541"/>
  <c r="S71" i="542"/>
  <c r="S71" i="543"/>
  <c r="S71" i="544"/>
  <c r="S71" i="545"/>
  <c r="S71" i="270"/>
  <c r="H70" i="531"/>
  <c r="I70" i="531"/>
  <c r="J70" i="531"/>
  <c r="K70" i="531"/>
  <c r="L70" i="531"/>
  <c r="M70" i="531"/>
  <c r="N70" i="531"/>
  <c r="O70" i="531"/>
  <c r="P70" i="531"/>
  <c r="Q70" i="531"/>
  <c r="R70" i="531"/>
  <c r="H71" i="531"/>
  <c r="I71" i="531"/>
  <c r="J71" i="531"/>
  <c r="K71" i="531"/>
  <c r="L71" i="531"/>
  <c r="M71" i="531"/>
  <c r="N71" i="531"/>
  <c r="O71" i="531"/>
  <c r="P71" i="531"/>
  <c r="Q71" i="531"/>
  <c r="R71" i="531"/>
  <c r="H70" i="532"/>
  <c r="I70" i="532"/>
  <c r="J70" i="532"/>
  <c r="K70" i="532"/>
  <c r="L70" i="532"/>
  <c r="M70" i="532"/>
  <c r="N70" i="532"/>
  <c r="O70" i="532"/>
  <c r="P70" i="532"/>
  <c r="Q70" i="532"/>
  <c r="R70" i="532"/>
  <c r="H71" i="532"/>
  <c r="I71" i="532"/>
  <c r="J71" i="532"/>
  <c r="K71" i="532"/>
  <c r="L71" i="532"/>
  <c r="M71" i="532"/>
  <c r="N71" i="532"/>
  <c r="O71" i="532"/>
  <c r="P71" i="532"/>
  <c r="Q71" i="532"/>
  <c r="R71" i="532"/>
  <c r="H70" i="533"/>
  <c r="I70" i="533"/>
  <c r="J70" i="533"/>
  <c r="K70" i="533"/>
  <c r="L70" i="533"/>
  <c r="M70" i="533"/>
  <c r="N70" i="533"/>
  <c r="O70" i="533"/>
  <c r="P70" i="533"/>
  <c r="Q70" i="533"/>
  <c r="R70" i="533"/>
  <c r="H71" i="533"/>
  <c r="I71" i="533"/>
  <c r="J71" i="533"/>
  <c r="K71" i="533"/>
  <c r="L71" i="533"/>
  <c r="M71" i="533"/>
  <c r="N71" i="533"/>
  <c r="O71" i="533"/>
  <c r="P71" i="533"/>
  <c r="Q71" i="533"/>
  <c r="R71" i="533"/>
  <c r="H70" i="534"/>
  <c r="I70" i="534"/>
  <c r="J70" i="534"/>
  <c r="K70" i="534"/>
  <c r="L70" i="534"/>
  <c r="M70" i="534"/>
  <c r="N70" i="534"/>
  <c r="O70" i="534"/>
  <c r="P70" i="534"/>
  <c r="Q70" i="534"/>
  <c r="R70" i="534"/>
  <c r="H71" i="534"/>
  <c r="I71" i="534"/>
  <c r="J71" i="534"/>
  <c r="K71" i="534"/>
  <c r="L71" i="534"/>
  <c r="M71" i="534"/>
  <c r="N71" i="534"/>
  <c r="O71" i="534"/>
  <c r="P71" i="534"/>
  <c r="Q71" i="534"/>
  <c r="R71" i="534"/>
  <c r="H70" i="535"/>
  <c r="I70" i="535"/>
  <c r="J70" i="535"/>
  <c r="K70" i="535"/>
  <c r="L70" i="535"/>
  <c r="M70" i="535"/>
  <c r="N70" i="535"/>
  <c r="O70" i="535"/>
  <c r="P70" i="535"/>
  <c r="Q70" i="535"/>
  <c r="R70" i="535"/>
  <c r="H71" i="535"/>
  <c r="I71" i="535"/>
  <c r="J71" i="535"/>
  <c r="K71" i="535"/>
  <c r="L71" i="535"/>
  <c r="M71" i="535"/>
  <c r="N71" i="535"/>
  <c r="O71" i="535"/>
  <c r="P71" i="535"/>
  <c r="Q71" i="535"/>
  <c r="R71" i="535"/>
  <c r="H70" i="536"/>
  <c r="I70" i="536"/>
  <c r="J70" i="536"/>
  <c r="K70" i="536"/>
  <c r="L70" i="536"/>
  <c r="M70" i="536"/>
  <c r="N70" i="536"/>
  <c r="O70" i="536"/>
  <c r="P70" i="536"/>
  <c r="Q70" i="536"/>
  <c r="R70" i="536"/>
  <c r="H71" i="536"/>
  <c r="I71" i="536"/>
  <c r="J71" i="536"/>
  <c r="K71" i="536"/>
  <c r="L71" i="536"/>
  <c r="M71" i="536"/>
  <c r="N71" i="536"/>
  <c r="O71" i="536"/>
  <c r="P71" i="536"/>
  <c r="Q71" i="536"/>
  <c r="R71" i="536"/>
  <c r="H70" i="537"/>
  <c r="I70" i="537"/>
  <c r="J70" i="537"/>
  <c r="K70" i="537"/>
  <c r="L70" i="537"/>
  <c r="M70" i="537"/>
  <c r="N70" i="537"/>
  <c r="O70" i="537"/>
  <c r="P70" i="537"/>
  <c r="Q70" i="537"/>
  <c r="R70" i="537"/>
  <c r="H71" i="537"/>
  <c r="I71" i="537"/>
  <c r="J71" i="537"/>
  <c r="K71" i="537"/>
  <c r="L71" i="537"/>
  <c r="M71" i="537"/>
  <c r="N71" i="537"/>
  <c r="O71" i="537"/>
  <c r="P71" i="537"/>
  <c r="Q71" i="537"/>
  <c r="R71" i="537"/>
  <c r="H70" i="538"/>
  <c r="I70" i="538"/>
  <c r="J70" i="538"/>
  <c r="K70" i="538"/>
  <c r="L70" i="538"/>
  <c r="M70" i="538"/>
  <c r="N70" i="538"/>
  <c r="O70" i="538"/>
  <c r="P70" i="538"/>
  <c r="Q70" i="538"/>
  <c r="R70" i="538"/>
  <c r="H71" i="538"/>
  <c r="I71" i="538"/>
  <c r="J71" i="538"/>
  <c r="K71" i="538"/>
  <c r="L71" i="538"/>
  <c r="M71" i="538"/>
  <c r="N71" i="538"/>
  <c r="O71" i="538"/>
  <c r="P71" i="538"/>
  <c r="Q71" i="538"/>
  <c r="R71" i="538"/>
  <c r="H70" i="539"/>
  <c r="I70" i="539"/>
  <c r="J70" i="539"/>
  <c r="K70" i="539"/>
  <c r="L70" i="539"/>
  <c r="M70" i="539"/>
  <c r="N70" i="539"/>
  <c r="O70" i="539"/>
  <c r="P70" i="539"/>
  <c r="Q70" i="539"/>
  <c r="R70" i="539"/>
  <c r="H71" i="539"/>
  <c r="I71" i="539"/>
  <c r="J71" i="539"/>
  <c r="K71" i="539"/>
  <c r="L71" i="539"/>
  <c r="M71" i="539"/>
  <c r="N71" i="539"/>
  <c r="O71" i="539"/>
  <c r="P71" i="539"/>
  <c r="Q71" i="539"/>
  <c r="R71" i="539"/>
  <c r="H70" i="540"/>
  <c r="I70" i="540"/>
  <c r="J70" i="540"/>
  <c r="K70" i="540"/>
  <c r="L70" i="540"/>
  <c r="M70" i="540"/>
  <c r="N70" i="540"/>
  <c r="O70" i="540"/>
  <c r="P70" i="540"/>
  <c r="Q70" i="540"/>
  <c r="R70" i="540"/>
  <c r="H71" i="540"/>
  <c r="I71" i="540"/>
  <c r="J71" i="540"/>
  <c r="K71" i="540"/>
  <c r="L71" i="540"/>
  <c r="M71" i="540"/>
  <c r="N71" i="540"/>
  <c r="O71" i="540"/>
  <c r="P71" i="540"/>
  <c r="Q71" i="540"/>
  <c r="R71" i="540"/>
  <c r="H70" i="541"/>
  <c r="I70" i="541"/>
  <c r="J70" i="541"/>
  <c r="K70" i="541"/>
  <c r="L70" i="541"/>
  <c r="M70" i="541"/>
  <c r="N70" i="541"/>
  <c r="O70" i="541"/>
  <c r="P70" i="541"/>
  <c r="Q70" i="541"/>
  <c r="R70" i="541"/>
  <c r="H71" i="541"/>
  <c r="I71" i="541"/>
  <c r="J71" i="541"/>
  <c r="K71" i="541"/>
  <c r="L71" i="541"/>
  <c r="M71" i="541"/>
  <c r="N71" i="541"/>
  <c r="O71" i="541"/>
  <c r="P71" i="541"/>
  <c r="Q71" i="541"/>
  <c r="R71" i="541"/>
  <c r="H70" i="542"/>
  <c r="I70" i="542"/>
  <c r="J70" i="542"/>
  <c r="K70" i="542"/>
  <c r="L70" i="542"/>
  <c r="M70" i="542"/>
  <c r="N70" i="542"/>
  <c r="O70" i="542"/>
  <c r="P70" i="542"/>
  <c r="Q70" i="542"/>
  <c r="R70" i="542"/>
  <c r="H71" i="542"/>
  <c r="I71" i="542"/>
  <c r="J71" i="542"/>
  <c r="K71" i="542"/>
  <c r="L71" i="542"/>
  <c r="M71" i="542"/>
  <c r="N71" i="542"/>
  <c r="O71" i="542"/>
  <c r="P71" i="542"/>
  <c r="Q71" i="542"/>
  <c r="R71" i="542"/>
  <c r="H70" i="543"/>
  <c r="I70" i="543"/>
  <c r="J70" i="543"/>
  <c r="K70" i="543"/>
  <c r="L70" i="543"/>
  <c r="M70" i="543"/>
  <c r="N70" i="543"/>
  <c r="O70" i="543"/>
  <c r="P70" i="543"/>
  <c r="Q70" i="543"/>
  <c r="R70" i="543"/>
  <c r="H71" i="543"/>
  <c r="I71" i="543"/>
  <c r="J71" i="543"/>
  <c r="K71" i="543"/>
  <c r="L71" i="543"/>
  <c r="M71" i="543"/>
  <c r="N71" i="543"/>
  <c r="O71" i="543"/>
  <c r="P71" i="543"/>
  <c r="Q71" i="543"/>
  <c r="R71" i="543"/>
  <c r="H70" i="544"/>
  <c r="I70" i="544"/>
  <c r="J70" i="544"/>
  <c r="K70" i="544"/>
  <c r="L70" i="544"/>
  <c r="M70" i="544"/>
  <c r="N70" i="544"/>
  <c r="O70" i="544"/>
  <c r="P70" i="544"/>
  <c r="Q70" i="544"/>
  <c r="R70" i="544"/>
  <c r="H71" i="544"/>
  <c r="I71" i="544"/>
  <c r="J71" i="544"/>
  <c r="K71" i="544"/>
  <c r="L71" i="544"/>
  <c r="M71" i="544"/>
  <c r="N71" i="544"/>
  <c r="O71" i="544"/>
  <c r="P71" i="544"/>
  <c r="Q71" i="544"/>
  <c r="R71" i="544"/>
  <c r="H70" i="545"/>
  <c r="I70" i="545"/>
  <c r="J70" i="545"/>
  <c r="K70" i="545"/>
  <c r="L70" i="545"/>
  <c r="M70" i="545"/>
  <c r="N70" i="545"/>
  <c r="O70" i="545"/>
  <c r="P70" i="545"/>
  <c r="Q70" i="545"/>
  <c r="R70" i="545"/>
  <c r="H71" i="545"/>
  <c r="I71" i="545"/>
  <c r="J71" i="545"/>
  <c r="K71" i="545"/>
  <c r="L71" i="545"/>
  <c r="M71" i="545"/>
  <c r="N71" i="545"/>
  <c r="O71" i="545"/>
  <c r="P71" i="545"/>
  <c r="Q71" i="545"/>
  <c r="R71" i="545"/>
  <c r="G71" i="531"/>
  <c r="G71" i="532"/>
  <c r="G71" i="533"/>
  <c r="G71" i="534"/>
  <c r="G71" i="535"/>
  <c r="G71" i="536"/>
  <c r="G71" i="537"/>
  <c r="G71" i="538"/>
  <c r="G71" i="539"/>
  <c r="G71" i="540"/>
  <c r="G71" i="541"/>
  <c r="G71" i="542"/>
  <c r="G71" i="543"/>
  <c r="G71" i="544"/>
  <c r="G71" i="545"/>
  <c r="G70" i="531"/>
  <c r="G70" i="532"/>
  <c r="G70" i="533"/>
  <c r="G70" i="534"/>
  <c r="G70" i="535"/>
  <c r="G70" i="536"/>
  <c r="G70" i="537"/>
  <c r="G70" i="538"/>
  <c r="G70" i="539"/>
  <c r="G70" i="540"/>
  <c r="G70" i="541"/>
  <c r="G70" i="542"/>
  <c r="G70" i="543"/>
  <c r="G70" i="544"/>
  <c r="G70" i="545"/>
  <c r="B2" i="531"/>
  <c r="B3" i="531"/>
  <c r="B4" i="531"/>
  <c r="B5" i="531"/>
  <c r="B6" i="531"/>
  <c r="B7" i="531"/>
  <c r="B8" i="531"/>
  <c r="B9" i="531"/>
  <c r="B10" i="531"/>
  <c r="B11" i="531"/>
  <c r="B12" i="531"/>
  <c r="B13" i="531"/>
  <c r="B14" i="531"/>
  <c r="B15" i="531"/>
  <c r="B16" i="531"/>
  <c r="B17" i="531"/>
  <c r="B18" i="531"/>
  <c r="B19" i="531"/>
  <c r="B20" i="531"/>
  <c r="B21" i="531"/>
  <c r="B22" i="531"/>
  <c r="B23" i="531"/>
  <c r="B24" i="531"/>
  <c r="B25" i="531"/>
  <c r="B26" i="531"/>
  <c r="B27" i="531"/>
  <c r="B28" i="531"/>
  <c r="B29" i="531"/>
  <c r="B30" i="531"/>
  <c r="B31" i="531"/>
  <c r="B32" i="531"/>
  <c r="B33" i="531"/>
  <c r="B34" i="531"/>
  <c r="B35" i="531"/>
  <c r="B36" i="531"/>
  <c r="B37" i="531"/>
  <c r="B38" i="531"/>
  <c r="B39" i="531"/>
  <c r="B40" i="531"/>
  <c r="B41" i="531"/>
  <c r="B42" i="531"/>
  <c r="B43" i="531"/>
  <c r="B44" i="531"/>
  <c r="B45" i="531"/>
  <c r="B46" i="531"/>
  <c r="B47" i="531"/>
  <c r="B48" i="531"/>
  <c r="B49" i="531"/>
  <c r="B50" i="531"/>
  <c r="B51" i="531"/>
  <c r="B52" i="531"/>
  <c r="B53" i="531"/>
  <c r="B54" i="531"/>
  <c r="B55" i="531"/>
  <c r="B56" i="531"/>
  <c r="B57" i="531"/>
  <c r="B58" i="531"/>
  <c r="B59" i="531"/>
  <c r="B60" i="531"/>
  <c r="B61" i="531"/>
  <c r="B62" i="531"/>
  <c r="B63" i="531"/>
  <c r="B64" i="531"/>
  <c r="B65" i="531"/>
  <c r="B66" i="531"/>
  <c r="B67" i="531"/>
  <c r="B68" i="531"/>
  <c r="B69" i="531"/>
  <c r="B70" i="531"/>
  <c r="B71" i="531"/>
  <c r="B72" i="531"/>
  <c r="B2" i="532"/>
  <c r="B3" i="532"/>
  <c r="B4" i="532"/>
  <c r="B5" i="532"/>
  <c r="B6" i="532"/>
  <c r="B7" i="532"/>
  <c r="B8" i="532"/>
  <c r="B9" i="532"/>
  <c r="B10" i="532"/>
  <c r="B11" i="532"/>
  <c r="B12" i="532"/>
  <c r="B13" i="532"/>
  <c r="B14" i="532"/>
  <c r="B15" i="532"/>
  <c r="B16" i="532"/>
  <c r="B17" i="532"/>
  <c r="B18" i="532"/>
  <c r="B19" i="532"/>
  <c r="B20" i="532"/>
  <c r="B21" i="532"/>
  <c r="B22" i="532"/>
  <c r="B23" i="532"/>
  <c r="B24" i="532"/>
  <c r="B25" i="532"/>
  <c r="B26" i="532"/>
  <c r="B27" i="532"/>
  <c r="B28" i="532"/>
  <c r="B29" i="532"/>
  <c r="B30" i="532"/>
  <c r="B31" i="532"/>
  <c r="B32" i="532"/>
  <c r="B33" i="532"/>
  <c r="B34" i="532"/>
  <c r="B35" i="532"/>
  <c r="B36" i="532"/>
  <c r="B37" i="532"/>
  <c r="B38" i="532"/>
  <c r="B39" i="532"/>
  <c r="B40" i="532"/>
  <c r="B41" i="532"/>
  <c r="B42" i="532"/>
  <c r="B43" i="532"/>
  <c r="B44" i="532"/>
  <c r="B45" i="532"/>
  <c r="B46" i="532"/>
  <c r="B47" i="532"/>
  <c r="B48" i="532"/>
  <c r="B49" i="532"/>
  <c r="B50" i="532"/>
  <c r="B51" i="532"/>
  <c r="B52" i="532"/>
  <c r="B53" i="532"/>
  <c r="B54" i="532"/>
  <c r="B55" i="532"/>
  <c r="B56" i="532"/>
  <c r="B57" i="532"/>
  <c r="B58" i="532"/>
  <c r="B59" i="532"/>
  <c r="B60" i="532"/>
  <c r="B61" i="532"/>
  <c r="B62" i="532"/>
  <c r="B63" i="532"/>
  <c r="B64" i="532"/>
  <c r="B65" i="532"/>
  <c r="B66" i="532"/>
  <c r="B67" i="532"/>
  <c r="B68" i="532"/>
  <c r="B69" i="532"/>
  <c r="B70" i="532"/>
  <c r="B71" i="532"/>
  <c r="B72" i="532"/>
  <c r="B2" i="533"/>
  <c r="B3" i="533"/>
  <c r="B4" i="533"/>
  <c r="B5" i="533"/>
  <c r="B6" i="533"/>
  <c r="B7" i="533"/>
  <c r="B8" i="533"/>
  <c r="B9" i="533"/>
  <c r="B10" i="533"/>
  <c r="B11" i="533"/>
  <c r="B12" i="533"/>
  <c r="B13" i="533"/>
  <c r="B14" i="533"/>
  <c r="B15" i="533"/>
  <c r="B16" i="533"/>
  <c r="B17" i="533"/>
  <c r="B18" i="533"/>
  <c r="B19" i="533"/>
  <c r="B20" i="533"/>
  <c r="B21" i="533"/>
  <c r="B22" i="533"/>
  <c r="B23" i="533"/>
  <c r="B24" i="533"/>
  <c r="B25" i="533"/>
  <c r="B26" i="533"/>
  <c r="B27" i="533"/>
  <c r="B28" i="533"/>
  <c r="B29" i="533"/>
  <c r="B30" i="533"/>
  <c r="B31" i="533"/>
  <c r="B32" i="533"/>
  <c r="B33" i="533"/>
  <c r="B34" i="533"/>
  <c r="B35" i="533"/>
  <c r="B36" i="533"/>
  <c r="B37" i="533"/>
  <c r="B38" i="533"/>
  <c r="B39" i="533"/>
  <c r="B40" i="533"/>
  <c r="B41" i="533"/>
  <c r="B42" i="533"/>
  <c r="B43" i="533"/>
  <c r="B44" i="533"/>
  <c r="B45" i="533"/>
  <c r="B46" i="533"/>
  <c r="B47" i="533"/>
  <c r="B48" i="533"/>
  <c r="B49" i="533"/>
  <c r="B50" i="533"/>
  <c r="B51" i="533"/>
  <c r="B52" i="533"/>
  <c r="B53" i="533"/>
  <c r="B54" i="533"/>
  <c r="B55" i="533"/>
  <c r="B56" i="533"/>
  <c r="B57" i="533"/>
  <c r="B58" i="533"/>
  <c r="B59" i="533"/>
  <c r="B60" i="533"/>
  <c r="B61" i="533"/>
  <c r="B62" i="533"/>
  <c r="B63" i="533"/>
  <c r="B64" i="533"/>
  <c r="B65" i="533"/>
  <c r="B66" i="533"/>
  <c r="B67" i="533"/>
  <c r="B68" i="533"/>
  <c r="B69" i="533"/>
  <c r="B70" i="533"/>
  <c r="B71" i="533"/>
  <c r="B72" i="533"/>
  <c r="B2" i="534"/>
  <c r="B3" i="534"/>
  <c r="B4" i="534"/>
  <c r="B5" i="534"/>
  <c r="B6" i="534"/>
  <c r="B7" i="534"/>
  <c r="B8" i="534"/>
  <c r="B9" i="534"/>
  <c r="B10" i="534"/>
  <c r="B11" i="534"/>
  <c r="B12" i="534"/>
  <c r="B13" i="534"/>
  <c r="B14" i="534"/>
  <c r="B15" i="534"/>
  <c r="B16" i="534"/>
  <c r="B17" i="534"/>
  <c r="B18" i="534"/>
  <c r="B19" i="534"/>
  <c r="B20" i="534"/>
  <c r="B21" i="534"/>
  <c r="B22" i="534"/>
  <c r="B23" i="534"/>
  <c r="B24" i="534"/>
  <c r="B25" i="534"/>
  <c r="B26" i="534"/>
  <c r="B27" i="534"/>
  <c r="B28" i="534"/>
  <c r="B29" i="534"/>
  <c r="B30" i="534"/>
  <c r="B31" i="534"/>
  <c r="B32" i="534"/>
  <c r="B33" i="534"/>
  <c r="B34" i="534"/>
  <c r="B35" i="534"/>
  <c r="B36" i="534"/>
  <c r="B37" i="534"/>
  <c r="B38" i="534"/>
  <c r="B39" i="534"/>
  <c r="B40" i="534"/>
  <c r="B41" i="534"/>
  <c r="B42" i="534"/>
  <c r="B43" i="534"/>
  <c r="B44" i="534"/>
  <c r="B45" i="534"/>
  <c r="B46" i="534"/>
  <c r="B47" i="534"/>
  <c r="B48" i="534"/>
  <c r="B49" i="534"/>
  <c r="B50" i="534"/>
  <c r="B51" i="534"/>
  <c r="B52" i="534"/>
  <c r="B53" i="534"/>
  <c r="B54" i="534"/>
  <c r="B55" i="534"/>
  <c r="B56" i="534"/>
  <c r="B57" i="534"/>
  <c r="B58" i="534"/>
  <c r="B59" i="534"/>
  <c r="B60" i="534"/>
  <c r="B61" i="534"/>
  <c r="B62" i="534"/>
  <c r="B63" i="534"/>
  <c r="B64" i="534"/>
  <c r="B65" i="534"/>
  <c r="B66" i="534"/>
  <c r="B67" i="534"/>
  <c r="B68" i="534"/>
  <c r="B69" i="534"/>
  <c r="B70" i="534"/>
  <c r="B71" i="534"/>
  <c r="B72" i="534"/>
  <c r="B2" i="535"/>
  <c r="B3" i="535"/>
  <c r="B4" i="535"/>
  <c r="B5" i="535"/>
  <c r="B6" i="535"/>
  <c r="B7" i="535"/>
  <c r="B8" i="535"/>
  <c r="B9" i="535"/>
  <c r="B10" i="535"/>
  <c r="B11" i="535"/>
  <c r="B12" i="535"/>
  <c r="B13" i="535"/>
  <c r="B14" i="535"/>
  <c r="B15" i="535"/>
  <c r="B16" i="535"/>
  <c r="B17" i="535"/>
  <c r="B18" i="535"/>
  <c r="B19" i="535"/>
  <c r="B20" i="535"/>
  <c r="B21" i="535"/>
  <c r="B22" i="535"/>
  <c r="B23" i="535"/>
  <c r="B24" i="535"/>
  <c r="B25" i="535"/>
  <c r="B26" i="535"/>
  <c r="B27" i="535"/>
  <c r="B28" i="535"/>
  <c r="B29" i="535"/>
  <c r="B30" i="535"/>
  <c r="B31" i="535"/>
  <c r="B32" i="535"/>
  <c r="B33" i="535"/>
  <c r="B34" i="535"/>
  <c r="B35" i="535"/>
  <c r="B36" i="535"/>
  <c r="B37" i="535"/>
  <c r="B38" i="535"/>
  <c r="B39" i="535"/>
  <c r="B40" i="535"/>
  <c r="B41" i="535"/>
  <c r="B42" i="535"/>
  <c r="B43" i="535"/>
  <c r="B44" i="535"/>
  <c r="B45" i="535"/>
  <c r="B46" i="535"/>
  <c r="B47" i="535"/>
  <c r="B48" i="535"/>
  <c r="B49" i="535"/>
  <c r="B50" i="535"/>
  <c r="B51" i="535"/>
  <c r="B52" i="535"/>
  <c r="B53" i="535"/>
  <c r="B54" i="535"/>
  <c r="B55" i="535"/>
  <c r="B56" i="535"/>
  <c r="B57" i="535"/>
  <c r="B58" i="535"/>
  <c r="B59" i="535"/>
  <c r="B60" i="535"/>
  <c r="B61" i="535"/>
  <c r="B62" i="535"/>
  <c r="B63" i="535"/>
  <c r="B64" i="535"/>
  <c r="B65" i="535"/>
  <c r="B66" i="535"/>
  <c r="B67" i="535"/>
  <c r="B68" i="535"/>
  <c r="B69" i="535"/>
  <c r="B70" i="535"/>
  <c r="B71" i="535"/>
  <c r="B72" i="535"/>
  <c r="B2" i="536"/>
  <c r="B3" i="536"/>
  <c r="B4" i="536"/>
  <c r="B5" i="536"/>
  <c r="B6" i="536"/>
  <c r="B7" i="536"/>
  <c r="B8" i="536"/>
  <c r="B9" i="536"/>
  <c r="B10" i="536"/>
  <c r="B11" i="536"/>
  <c r="B12" i="536"/>
  <c r="B13" i="536"/>
  <c r="B14" i="536"/>
  <c r="B15" i="536"/>
  <c r="B16" i="536"/>
  <c r="B17" i="536"/>
  <c r="B18" i="536"/>
  <c r="B19" i="536"/>
  <c r="B20" i="536"/>
  <c r="B21" i="536"/>
  <c r="B22" i="536"/>
  <c r="B23" i="536"/>
  <c r="B24" i="536"/>
  <c r="B25" i="536"/>
  <c r="B26" i="536"/>
  <c r="B27" i="536"/>
  <c r="B28" i="536"/>
  <c r="B29" i="536"/>
  <c r="B30" i="536"/>
  <c r="B31" i="536"/>
  <c r="B32" i="536"/>
  <c r="B33" i="536"/>
  <c r="B34" i="536"/>
  <c r="B35" i="536"/>
  <c r="B36" i="536"/>
  <c r="B37" i="536"/>
  <c r="B38" i="536"/>
  <c r="B39" i="536"/>
  <c r="B40" i="536"/>
  <c r="B41" i="536"/>
  <c r="B42" i="536"/>
  <c r="B43" i="536"/>
  <c r="B44" i="536"/>
  <c r="B45" i="536"/>
  <c r="B46" i="536"/>
  <c r="B47" i="536"/>
  <c r="B48" i="536"/>
  <c r="B49" i="536"/>
  <c r="B50" i="536"/>
  <c r="B51" i="536"/>
  <c r="B52" i="536"/>
  <c r="B53" i="536"/>
  <c r="B54" i="536"/>
  <c r="B55" i="536"/>
  <c r="B56" i="536"/>
  <c r="B57" i="536"/>
  <c r="B58" i="536"/>
  <c r="B59" i="536"/>
  <c r="B60" i="536"/>
  <c r="B61" i="536"/>
  <c r="B62" i="536"/>
  <c r="B63" i="536"/>
  <c r="B64" i="536"/>
  <c r="B65" i="536"/>
  <c r="B66" i="536"/>
  <c r="B67" i="536"/>
  <c r="B68" i="536"/>
  <c r="B69" i="536"/>
  <c r="B70" i="536"/>
  <c r="B71" i="536"/>
  <c r="B72" i="536"/>
  <c r="B2" i="537"/>
  <c r="B3" i="537"/>
  <c r="B4" i="537"/>
  <c r="B5" i="537"/>
  <c r="B6" i="537"/>
  <c r="B7" i="537"/>
  <c r="B8" i="537"/>
  <c r="B9" i="537"/>
  <c r="B10" i="537"/>
  <c r="B11" i="537"/>
  <c r="B12" i="537"/>
  <c r="B13" i="537"/>
  <c r="B14" i="537"/>
  <c r="B15" i="537"/>
  <c r="B16" i="537"/>
  <c r="B17" i="537"/>
  <c r="B18" i="537"/>
  <c r="B19" i="537"/>
  <c r="B20" i="537"/>
  <c r="B21" i="537"/>
  <c r="B22" i="537"/>
  <c r="B23" i="537"/>
  <c r="B24" i="537"/>
  <c r="B25" i="537"/>
  <c r="B26" i="537"/>
  <c r="B27" i="537"/>
  <c r="B28" i="537"/>
  <c r="B29" i="537"/>
  <c r="B30" i="537"/>
  <c r="B31" i="537"/>
  <c r="B32" i="537"/>
  <c r="B33" i="537"/>
  <c r="B34" i="537"/>
  <c r="B35" i="537"/>
  <c r="B36" i="537"/>
  <c r="B37" i="537"/>
  <c r="B38" i="537"/>
  <c r="B39" i="537"/>
  <c r="B40" i="537"/>
  <c r="B41" i="537"/>
  <c r="B42" i="537"/>
  <c r="B43" i="537"/>
  <c r="B44" i="537"/>
  <c r="B45" i="537"/>
  <c r="B46" i="537"/>
  <c r="B47" i="537"/>
  <c r="B48" i="537"/>
  <c r="B49" i="537"/>
  <c r="B50" i="537"/>
  <c r="B51" i="537"/>
  <c r="B52" i="537"/>
  <c r="B53" i="537"/>
  <c r="B54" i="537"/>
  <c r="B55" i="537"/>
  <c r="B56" i="537"/>
  <c r="B57" i="537"/>
  <c r="B58" i="537"/>
  <c r="B59" i="537"/>
  <c r="B60" i="537"/>
  <c r="B61" i="537"/>
  <c r="B62" i="537"/>
  <c r="B63" i="537"/>
  <c r="B64" i="537"/>
  <c r="B65" i="537"/>
  <c r="B66" i="537"/>
  <c r="B67" i="537"/>
  <c r="B68" i="537"/>
  <c r="B69" i="537"/>
  <c r="B70" i="537"/>
  <c r="B71" i="537"/>
  <c r="B72" i="537"/>
  <c r="B2" i="538"/>
  <c r="B3" i="538"/>
  <c r="B4" i="538"/>
  <c r="B5" i="538"/>
  <c r="B6" i="538"/>
  <c r="B7" i="538"/>
  <c r="B8" i="538"/>
  <c r="B9" i="538"/>
  <c r="B10" i="538"/>
  <c r="B11" i="538"/>
  <c r="B12" i="538"/>
  <c r="B13" i="538"/>
  <c r="B14" i="538"/>
  <c r="B15" i="538"/>
  <c r="B16" i="538"/>
  <c r="B17" i="538"/>
  <c r="B18" i="538"/>
  <c r="B19" i="538"/>
  <c r="B20" i="538"/>
  <c r="B21" i="538"/>
  <c r="B22" i="538"/>
  <c r="B23" i="538"/>
  <c r="B24" i="538"/>
  <c r="B25" i="538"/>
  <c r="B26" i="538"/>
  <c r="B27" i="538"/>
  <c r="B28" i="538"/>
  <c r="B29" i="538"/>
  <c r="B30" i="538"/>
  <c r="B31" i="538"/>
  <c r="B32" i="538"/>
  <c r="B33" i="538"/>
  <c r="B34" i="538"/>
  <c r="B35" i="538"/>
  <c r="B36" i="538"/>
  <c r="B37" i="538"/>
  <c r="B38" i="538"/>
  <c r="B39" i="538"/>
  <c r="B40" i="538"/>
  <c r="B41" i="538"/>
  <c r="B42" i="538"/>
  <c r="B43" i="538"/>
  <c r="B44" i="538"/>
  <c r="B45" i="538"/>
  <c r="B46" i="538"/>
  <c r="B47" i="538"/>
  <c r="B48" i="538"/>
  <c r="B49" i="538"/>
  <c r="B50" i="538"/>
  <c r="B51" i="538"/>
  <c r="B52" i="538"/>
  <c r="B53" i="538"/>
  <c r="B54" i="538"/>
  <c r="B55" i="538"/>
  <c r="B56" i="538"/>
  <c r="B57" i="538"/>
  <c r="B58" i="538"/>
  <c r="B59" i="538"/>
  <c r="B60" i="538"/>
  <c r="B61" i="538"/>
  <c r="B62" i="538"/>
  <c r="B63" i="538"/>
  <c r="B64" i="538"/>
  <c r="B65" i="538"/>
  <c r="B66" i="538"/>
  <c r="B67" i="538"/>
  <c r="B68" i="538"/>
  <c r="B69" i="538"/>
  <c r="B70" i="538"/>
  <c r="B71" i="538"/>
  <c r="B72" i="538"/>
  <c r="B2" i="539"/>
  <c r="B3" i="539"/>
  <c r="B4" i="539"/>
  <c r="B5" i="539"/>
  <c r="B6" i="539"/>
  <c r="B7" i="539"/>
  <c r="B8" i="539"/>
  <c r="B9" i="539"/>
  <c r="B10" i="539"/>
  <c r="B11" i="539"/>
  <c r="B12" i="539"/>
  <c r="B13" i="539"/>
  <c r="B14" i="539"/>
  <c r="B15" i="539"/>
  <c r="B16" i="539"/>
  <c r="B17" i="539"/>
  <c r="B18" i="539"/>
  <c r="B19" i="539"/>
  <c r="B20" i="539"/>
  <c r="B21" i="539"/>
  <c r="B22" i="539"/>
  <c r="B23" i="539"/>
  <c r="B24" i="539"/>
  <c r="B25" i="539"/>
  <c r="B26" i="539"/>
  <c r="B27" i="539"/>
  <c r="B28" i="539"/>
  <c r="B29" i="539"/>
  <c r="B30" i="539"/>
  <c r="B31" i="539"/>
  <c r="B32" i="539"/>
  <c r="B33" i="539"/>
  <c r="B34" i="539"/>
  <c r="B35" i="539"/>
  <c r="B36" i="539"/>
  <c r="B37" i="539"/>
  <c r="B38" i="539"/>
  <c r="B39" i="539"/>
  <c r="B40" i="539"/>
  <c r="B41" i="539"/>
  <c r="B42" i="539"/>
  <c r="B43" i="539"/>
  <c r="B44" i="539"/>
  <c r="B45" i="539"/>
  <c r="B46" i="539"/>
  <c r="B47" i="539"/>
  <c r="B48" i="539"/>
  <c r="B49" i="539"/>
  <c r="B50" i="539"/>
  <c r="B51" i="539"/>
  <c r="B52" i="539"/>
  <c r="B53" i="539"/>
  <c r="B54" i="539"/>
  <c r="B55" i="539"/>
  <c r="B56" i="539"/>
  <c r="B57" i="539"/>
  <c r="B58" i="539"/>
  <c r="B59" i="539"/>
  <c r="B60" i="539"/>
  <c r="B61" i="539"/>
  <c r="B62" i="539"/>
  <c r="B63" i="539"/>
  <c r="B64" i="539"/>
  <c r="B65" i="539"/>
  <c r="B66" i="539"/>
  <c r="B67" i="539"/>
  <c r="B68" i="539"/>
  <c r="B69" i="539"/>
  <c r="B70" i="539"/>
  <c r="B71" i="539"/>
  <c r="B72" i="539"/>
  <c r="B2" i="540"/>
  <c r="B3" i="540"/>
  <c r="B4" i="540"/>
  <c r="B5" i="540"/>
  <c r="B6" i="540"/>
  <c r="B7" i="540"/>
  <c r="B8" i="540"/>
  <c r="B9" i="540"/>
  <c r="B10" i="540"/>
  <c r="B11" i="540"/>
  <c r="B12" i="540"/>
  <c r="B13" i="540"/>
  <c r="B14" i="540"/>
  <c r="B15" i="540"/>
  <c r="B16" i="540"/>
  <c r="B17" i="540"/>
  <c r="B18" i="540"/>
  <c r="B19" i="540"/>
  <c r="B20" i="540"/>
  <c r="B21" i="540"/>
  <c r="B22" i="540"/>
  <c r="B23" i="540"/>
  <c r="B24" i="540"/>
  <c r="B25" i="540"/>
  <c r="B26" i="540"/>
  <c r="B27" i="540"/>
  <c r="B28" i="540"/>
  <c r="B29" i="540"/>
  <c r="B30" i="540"/>
  <c r="B31" i="540"/>
  <c r="B32" i="540"/>
  <c r="B33" i="540"/>
  <c r="B34" i="540"/>
  <c r="B35" i="540"/>
  <c r="B36" i="540"/>
  <c r="B37" i="540"/>
  <c r="B38" i="540"/>
  <c r="B39" i="540"/>
  <c r="B40" i="540"/>
  <c r="B41" i="540"/>
  <c r="B42" i="540"/>
  <c r="B43" i="540"/>
  <c r="B44" i="540"/>
  <c r="B45" i="540"/>
  <c r="B46" i="540"/>
  <c r="B47" i="540"/>
  <c r="B48" i="540"/>
  <c r="B49" i="540"/>
  <c r="B50" i="540"/>
  <c r="B51" i="540"/>
  <c r="B52" i="540"/>
  <c r="B53" i="540"/>
  <c r="B54" i="540"/>
  <c r="B55" i="540"/>
  <c r="B56" i="540"/>
  <c r="B57" i="540"/>
  <c r="B58" i="540"/>
  <c r="B59" i="540"/>
  <c r="B60" i="540"/>
  <c r="B61" i="540"/>
  <c r="B62" i="540"/>
  <c r="B63" i="540"/>
  <c r="B64" i="540"/>
  <c r="B65" i="540"/>
  <c r="B66" i="540"/>
  <c r="B67" i="540"/>
  <c r="B68" i="540"/>
  <c r="B69" i="540"/>
  <c r="B70" i="540"/>
  <c r="B71" i="540"/>
  <c r="B72" i="540"/>
  <c r="B2" i="541"/>
  <c r="B3" i="541"/>
  <c r="B4" i="541"/>
  <c r="B5" i="541"/>
  <c r="B6" i="541"/>
  <c r="B7" i="541"/>
  <c r="B8" i="541"/>
  <c r="B9" i="541"/>
  <c r="B10" i="541"/>
  <c r="B11" i="541"/>
  <c r="B12" i="541"/>
  <c r="B13" i="541"/>
  <c r="B14" i="541"/>
  <c r="B15" i="541"/>
  <c r="B16" i="541"/>
  <c r="B17" i="541"/>
  <c r="B18" i="541"/>
  <c r="B19" i="541"/>
  <c r="B20" i="541"/>
  <c r="B21" i="541"/>
  <c r="B22" i="541"/>
  <c r="B23" i="541"/>
  <c r="B24" i="541"/>
  <c r="B25" i="541"/>
  <c r="B26" i="541"/>
  <c r="B27" i="541"/>
  <c r="B28" i="541"/>
  <c r="B29" i="541"/>
  <c r="B30" i="541"/>
  <c r="B31" i="541"/>
  <c r="B32" i="541"/>
  <c r="B33" i="541"/>
  <c r="B34" i="541"/>
  <c r="B35" i="541"/>
  <c r="B36" i="541"/>
  <c r="B37" i="541"/>
  <c r="B38" i="541"/>
  <c r="B39" i="541"/>
  <c r="B40" i="541"/>
  <c r="B41" i="541"/>
  <c r="B42" i="541"/>
  <c r="B43" i="541"/>
  <c r="B44" i="541"/>
  <c r="B45" i="541"/>
  <c r="B46" i="541"/>
  <c r="B47" i="541"/>
  <c r="B48" i="541"/>
  <c r="B49" i="541"/>
  <c r="B50" i="541"/>
  <c r="B51" i="541"/>
  <c r="B52" i="541"/>
  <c r="B53" i="541"/>
  <c r="B54" i="541"/>
  <c r="B55" i="541"/>
  <c r="B56" i="541"/>
  <c r="B57" i="541"/>
  <c r="B58" i="541"/>
  <c r="B59" i="541"/>
  <c r="B60" i="541"/>
  <c r="B61" i="541"/>
  <c r="B62" i="541"/>
  <c r="B63" i="541"/>
  <c r="B64" i="541"/>
  <c r="B65" i="541"/>
  <c r="B66" i="541"/>
  <c r="B67" i="541"/>
  <c r="B68" i="541"/>
  <c r="B69" i="541"/>
  <c r="B70" i="541"/>
  <c r="B71" i="541"/>
  <c r="B72" i="541"/>
  <c r="B2" i="542"/>
  <c r="B3" i="542"/>
  <c r="B4" i="542"/>
  <c r="B5" i="542"/>
  <c r="B6" i="542"/>
  <c r="B7" i="542"/>
  <c r="B8" i="542"/>
  <c r="B9" i="542"/>
  <c r="B10" i="542"/>
  <c r="B11" i="542"/>
  <c r="B12" i="542"/>
  <c r="B13" i="542"/>
  <c r="B14" i="542"/>
  <c r="B15" i="542"/>
  <c r="B16" i="542"/>
  <c r="B17" i="542"/>
  <c r="B18" i="542"/>
  <c r="B19" i="542"/>
  <c r="B20" i="542"/>
  <c r="B21" i="542"/>
  <c r="B22" i="542"/>
  <c r="B23" i="542"/>
  <c r="B24" i="542"/>
  <c r="B25" i="542"/>
  <c r="B26" i="542"/>
  <c r="B27" i="542"/>
  <c r="B28" i="542"/>
  <c r="B29" i="542"/>
  <c r="B30" i="542"/>
  <c r="B31" i="542"/>
  <c r="B32" i="542"/>
  <c r="B33" i="542"/>
  <c r="B34" i="542"/>
  <c r="B35" i="542"/>
  <c r="B36" i="542"/>
  <c r="B37" i="542"/>
  <c r="B38" i="542"/>
  <c r="B39" i="542"/>
  <c r="B40" i="542"/>
  <c r="B41" i="542"/>
  <c r="B42" i="542"/>
  <c r="B43" i="542"/>
  <c r="B44" i="542"/>
  <c r="B45" i="542"/>
  <c r="B46" i="542"/>
  <c r="B47" i="542"/>
  <c r="B48" i="542"/>
  <c r="B49" i="542"/>
  <c r="B50" i="542"/>
  <c r="B51" i="542"/>
  <c r="B52" i="542"/>
  <c r="B53" i="542"/>
  <c r="B54" i="542"/>
  <c r="B55" i="542"/>
  <c r="B56" i="542"/>
  <c r="B57" i="542"/>
  <c r="B58" i="542"/>
  <c r="B59" i="542"/>
  <c r="B60" i="542"/>
  <c r="B61" i="542"/>
  <c r="B62" i="542"/>
  <c r="B63" i="542"/>
  <c r="B64" i="542"/>
  <c r="B65" i="542"/>
  <c r="B66" i="542"/>
  <c r="B67" i="542"/>
  <c r="B68" i="542"/>
  <c r="B69" i="542"/>
  <c r="B70" i="542"/>
  <c r="B71" i="542"/>
  <c r="B72" i="542"/>
  <c r="B2" i="543"/>
  <c r="B3" i="543"/>
  <c r="B4" i="543"/>
  <c r="B5" i="543"/>
  <c r="B6" i="543"/>
  <c r="B7" i="543"/>
  <c r="B8" i="543"/>
  <c r="B9" i="543"/>
  <c r="B10" i="543"/>
  <c r="B11" i="543"/>
  <c r="B12" i="543"/>
  <c r="B13" i="543"/>
  <c r="B14" i="543"/>
  <c r="B15" i="543"/>
  <c r="B16" i="543"/>
  <c r="B17" i="543"/>
  <c r="B18" i="543"/>
  <c r="B19" i="543"/>
  <c r="B20" i="543"/>
  <c r="B21" i="543"/>
  <c r="B22" i="543"/>
  <c r="B23" i="543"/>
  <c r="B24" i="543"/>
  <c r="B25" i="543"/>
  <c r="B26" i="543"/>
  <c r="B27" i="543"/>
  <c r="B28" i="543"/>
  <c r="B29" i="543"/>
  <c r="B30" i="543"/>
  <c r="B31" i="543"/>
  <c r="B32" i="543"/>
  <c r="B33" i="543"/>
  <c r="B34" i="543"/>
  <c r="B35" i="543"/>
  <c r="B36" i="543"/>
  <c r="B37" i="543"/>
  <c r="B38" i="543"/>
  <c r="B39" i="543"/>
  <c r="B40" i="543"/>
  <c r="B41" i="543"/>
  <c r="B42" i="543"/>
  <c r="B43" i="543"/>
  <c r="B44" i="543"/>
  <c r="B45" i="543"/>
  <c r="B46" i="543"/>
  <c r="B47" i="543"/>
  <c r="B48" i="543"/>
  <c r="B49" i="543"/>
  <c r="B50" i="543"/>
  <c r="B51" i="543"/>
  <c r="B52" i="543"/>
  <c r="B53" i="543"/>
  <c r="B54" i="543"/>
  <c r="B55" i="543"/>
  <c r="B56" i="543"/>
  <c r="B57" i="543"/>
  <c r="B58" i="543"/>
  <c r="B59" i="543"/>
  <c r="B60" i="543"/>
  <c r="B61" i="543"/>
  <c r="B62" i="543"/>
  <c r="B63" i="543"/>
  <c r="B64" i="543"/>
  <c r="B65" i="543"/>
  <c r="B66" i="543"/>
  <c r="B67" i="543"/>
  <c r="B68" i="543"/>
  <c r="B69" i="543"/>
  <c r="B70" i="543"/>
  <c r="B71" i="543"/>
  <c r="B72" i="543"/>
  <c r="B2" i="544"/>
  <c r="B3" i="544"/>
  <c r="B4" i="544"/>
  <c r="B5" i="544"/>
  <c r="B6" i="544"/>
  <c r="B7" i="544"/>
  <c r="B8" i="544"/>
  <c r="B9" i="544"/>
  <c r="B10" i="544"/>
  <c r="B11" i="544"/>
  <c r="B12" i="544"/>
  <c r="B13" i="544"/>
  <c r="B14" i="544"/>
  <c r="B15" i="544"/>
  <c r="B16" i="544"/>
  <c r="B17" i="544"/>
  <c r="B18" i="544"/>
  <c r="B19" i="544"/>
  <c r="B20" i="544"/>
  <c r="B21" i="544"/>
  <c r="B22" i="544"/>
  <c r="B23" i="544"/>
  <c r="B24" i="544"/>
  <c r="B25" i="544"/>
  <c r="B26" i="544"/>
  <c r="B27" i="544"/>
  <c r="B28" i="544"/>
  <c r="B29" i="544"/>
  <c r="B30" i="544"/>
  <c r="B31" i="544"/>
  <c r="B32" i="544"/>
  <c r="B33" i="544"/>
  <c r="B34" i="544"/>
  <c r="B35" i="544"/>
  <c r="B36" i="544"/>
  <c r="B37" i="544"/>
  <c r="B38" i="544"/>
  <c r="B39" i="544"/>
  <c r="B40" i="544"/>
  <c r="B41" i="544"/>
  <c r="B42" i="544"/>
  <c r="B43" i="544"/>
  <c r="B44" i="544"/>
  <c r="B45" i="544"/>
  <c r="B46" i="544"/>
  <c r="B47" i="544"/>
  <c r="B48" i="544"/>
  <c r="B49" i="544"/>
  <c r="B50" i="544"/>
  <c r="B51" i="544"/>
  <c r="B52" i="544"/>
  <c r="B53" i="544"/>
  <c r="B54" i="544"/>
  <c r="B55" i="544"/>
  <c r="B56" i="544"/>
  <c r="B57" i="544"/>
  <c r="B58" i="544"/>
  <c r="B59" i="544"/>
  <c r="B60" i="544"/>
  <c r="B61" i="544"/>
  <c r="B62" i="544"/>
  <c r="B63" i="544"/>
  <c r="B64" i="544"/>
  <c r="B65" i="544"/>
  <c r="B66" i="544"/>
  <c r="B67" i="544"/>
  <c r="B68" i="544"/>
  <c r="B69" i="544"/>
  <c r="B70" i="544"/>
  <c r="B71" i="544"/>
  <c r="B72" i="544"/>
  <c r="B2" i="545"/>
  <c r="B3" i="545"/>
  <c r="B4" i="545"/>
  <c r="B5" i="545"/>
  <c r="B6" i="545"/>
  <c r="B7" i="545"/>
  <c r="B8" i="545"/>
  <c r="B9" i="545"/>
  <c r="B10" i="545"/>
  <c r="B11" i="545"/>
  <c r="B12" i="545"/>
  <c r="B13" i="545"/>
  <c r="B14" i="545"/>
  <c r="B15" i="545"/>
  <c r="B16" i="545"/>
  <c r="B17" i="545"/>
  <c r="B18" i="545"/>
  <c r="B19" i="545"/>
  <c r="B20" i="545"/>
  <c r="B21" i="545"/>
  <c r="B22" i="545"/>
  <c r="B23" i="545"/>
  <c r="B24" i="545"/>
  <c r="B25" i="545"/>
  <c r="B26" i="545"/>
  <c r="B27" i="545"/>
  <c r="B28" i="545"/>
  <c r="B29" i="545"/>
  <c r="B30" i="545"/>
  <c r="B31" i="545"/>
  <c r="B32" i="545"/>
  <c r="B33" i="545"/>
  <c r="B34" i="545"/>
  <c r="B35" i="545"/>
  <c r="B36" i="545"/>
  <c r="B37" i="545"/>
  <c r="B38" i="545"/>
  <c r="B39" i="545"/>
  <c r="B40" i="545"/>
  <c r="B41" i="545"/>
  <c r="B42" i="545"/>
  <c r="B43" i="545"/>
  <c r="B44" i="545"/>
  <c r="B45" i="545"/>
  <c r="B46" i="545"/>
  <c r="B47" i="545"/>
  <c r="B48" i="545"/>
  <c r="B49" i="545"/>
  <c r="B50" i="545"/>
  <c r="B51" i="545"/>
  <c r="B52" i="545"/>
  <c r="B53" i="545"/>
  <c r="B54" i="545"/>
  <c r="B55" i="545"/>
  <c r="B56" i="545"/>
  <c r="B57" i="545"/>
  <c r="B58" i="545"/>
  <c r="B59" i="545"/>
  <c r="B60" i="545"/>
  <c r="B61" i="545"/>
  <c r="B62" i="545"/>
  <c r="B63" i="545"/>
  <c r="B64" i="545"/>
  <c r="B65" i="545"/>
  <c r="B66" i="545"/>
  <c r="B67" i="545"/>
  <c r="B68" i="545"/>
  <c r="B69" i="545"/>
  <c r="B70" i="545"/>
  <c r="B71" i="545"/>
  <c r="B72" i="545"/>
  <c r="B2" i="270"/>
  <c r="B3" i="270"/>
  <c r="B4" i="270"/>
  <c r="B5" i="270"/>
  <c r="B6" i="270"/>
  <c r="B7" i="270"/>
  <c r="B8" i="270"/>
  <c r="B9" i="270"/>
  <c r="B10" i="270"/>
  <c r="B11" i="270"/>
  <c r="B12" i="270"/>
  <c r="B13" i="270"/>
  <c r="B14" i="270"/>
  <c r="B15" i="270"/>
  <c r="B16" i="270"/>
  <c r="B17" i="270"/>
  <c r="B18" i="270"/>
  <c r="B19" i="270"/>
  <c r="B20" i="270"/>
  <c r="B21" i="270"/>
  <c r="B22" i="270"/>
  <c r="B23" i="270"/>
  <c r="B24" i="270"/>
  <c r="B25" i="270"/>
  <c r="B26" i="270"/>
  <c r="B27" i="270"/>
  <c r="B28" i="270"/>
  <c r="B29" i="270"/>
  <c r="B30" i="270"/>
  <c r="B31" i="270"/>
  <c r="B32" i="270"/>
  <c r="B33" i="270"/>
  <c r="B34" i="270"/>
  <c r="B35" i="270"/>
  <c r="B36" i="270"/>
  <c r="B37" i="270"/>
  <c r="B38" i="270"/>
  <c r="B39" i="270"/>
  <c r="B40" i="270"/>
  <c r="B41" i="270"/>
  <c r="B42" i="270"/>
  <c r="B43" i="270"/>
  <c r="B44" i="270"/>
  <c r="B45" i="270"/>
  <c r="B46" i="270"/>
  <c r="B47" i="270"/>
  <c r="B48" i="270"/>
  <c r="B49" i="270"/>
  <c r="B50" i="270"/>
  <c r="B51" i="270"/>
  <c r="B52" i="270"/>
  <c r="B53" i="270"/>
  <c r="B54" i="270"/>
  <c r="B55" i="270"/>
  <c r="B56" i="270"/>
  <c r="B57" i="270"/>
  <c r="B58" i="270"/>
  <c r="B59" i="270"/>
  <c r="B60" i="270"/>
  <c r="B61" i="270"/>
  <c r="B62" i="270"/>
  <c r="B63" i="270"/>
  <c r="B64" i="270"/>
  <c r="B65" i="270"/>
  <c r="B66" i="270"/>
  <c r="B67" i="270"/>
  <c r="B68" i="270"/>
  <c r="B69" i="270"/>
  <c r="B70" i="270"/>
  <c r="B71" i="270"/>
  <c r="B72" i="270"/>
  <c r="H8" i="531"/>
  <c r="H108" i="531"/>
  <c r="H140" i="531"/>
  <c r="H171" i="531"/>
  <c r="I8" i="531"/>
  <c r="I108" i="531"/>
  <c r="I140" i="531"/>
  <c r="I171" i="531"/>
  <c r="J8" i="531"/>
  <c r="J108" i="531"/>
  <c r="J140" i="531"/>
  <c r="J171" i="531"/>
  <c r="K8" i="531"/>
  <c r="K108" i="531"/>
  <c r="K140" i="531"/>
  <c r="K171" i="531"/>
  <c r="L8" i="531"/>
  <c r="L108" i="531"/>
  <c r="L140" i="531"/>
  <c r="L171" i="531"/>
  <c r="M8" i="531"/>
  <c r="M108" i="531"/>
  <c r="M140" i="531"/>
  <c r="M171" i="531"/>
  <c r="N8" i="531"/>
  <c r="N108" i="531"/>
  <c r="N140" i="531"/>
  <c r="N171" i="531"/>
  <c r="O8" i="531"/>
  <c r="O108" i="531"/>
  <c r="O140" i="531"/>
  <c r="O171" i="531"/>
  <c r="P8" i="531"/>
  <c r="P108" i="531"/>
  <c r="P140" i="531"/>
  <c r="P171" i="531"/>
  <c r="Q8" i="531"/>
  <c r="Q108" i="531"/>
  <c r="Q140" i="531"/>
  <c r="Q171" i="531"/>
  <c r="R8" i="531"/>
  <c r="R108" i="531"/>
  <c r="R140" i="531"/>
  <c r="R171" i="531"/>
  <c r="H8" i="532"/>
  <c r="H108" i="532"/>
  <c r="H140" i="532"/>
  <c r="H171" i="532"/>
  <c r="I8" i="532"/>
  <c r="I108" i="532"/>
  <c r="I140" i="532"/>
  <c r="I171" i="532"/>
  <c r="J8" i="532"/>
  <c r="J108" i="532"/>
  <c r="J140" i="532"/>
  <c r="J171" i="532"/>
  <c r="K8" i="532"/>
  <c r="K108" i="532"/>
  <c r="K140" i="532"/>
  <c r="K171" i="532"/>
  <c r="L8" i="532"/>
  <c r="L108" i="532"/>
  <c r="L140" i="532"/>
  <c r="L171" i="532"/>
  <c r="M8" i="532"/>
  <c r="M108" i="532"/>
  <c r="M140" i="532"/>
  <c r="M171" i="532"/>
  <c r="N8" i="532"/>
  <c r="N108" i="532"/>
  <c r="N140" i="532"/>
  <c r="N171" i="532"/>
  <c r="O8" i="532"/>
  <c r="O108" i="532"/>
  <c r="O140" i="532"/>
  <c r="O171" i="532"/>
  <c r="P8" i="532"/>
  <c r="P108" i="532"/>
  <c r="P140" i="532"/>
  <c r="P171" i="532"/>
  <c r="Q8" i="532"/>
  <c r="Q108" i="532"/>
  <c r="Q140" i="532"/>
  <c r="Q171" i="532"/>
  <c r="R8" i="532"/>
  <c r="R108" i="532"/>
  <c r="R140" i="532"/>
  <c r="R171" i="532"/>
  <c r="H8" i="533"/>
  <c r="H108" i="533"/>
  <c r="H140" i="533"/>
  <c r="H171" i="533"/>
  <c r="I8" i="533"/>
  <c r="I108" i="533"/>
  <c r="I140" i="533"/>
  <c r="I171" i="533"/>
  <c r="J8" i="533"/>
  <c r="J108" i="533"/>
  <c r="J140" i="533"/>
  <c r="J171" i="533"/>
  <c r="K8" i="533"/>
  <c r="K108" i="533"/>
  <c r="K140" i="533"/>
  <c r="K171" i="533"/>
  <c r="L8" i="533"/>
  <c r="L108" i="533"/>
  <c r="L140" i="533"/>
  <c r="L171" i="533"/>
  <c r="M8" i="533"/>
  <c r="M108" i="533"/>
  <c r="M140" i="533"/>
  <c r="M171" i="533"/>
  <c r="N8" i="533"/>
  <c r="N108" i="533"/>
  <c r="N140" i="533"/>
  <c r="N171" i="533"/>
  <c r="O8" i="533"/>
  <c r="O108" i="533"/>
  <c r="O140" i="533"/>
  <c r="O171" i="533"/>
  <c r="P8" i="533"/>
  <c r="P108" i="533"/>
  <c r="P140" i="533"/>
  <c r="P171" i="533"/>
  <c r="Q8" i="533"/>
  <c r="Q108" i="533"/>
  <c r="Q140" i="533"/>
  <c r="Q171" i="533"/>
  <c r="R8" i="533"/>
  <c r="R108" i="533"/>
  <c r="R140" i="533"/>
  <c r="R171" i="533"/>
  <c r="H8" i="534"/>
  <c r="H108" i="534"/>
  <c r="H140" i="534"/>
  <c r="H171" i="534"/>
  <c r="I8" i="534"/>
  <c r="I108" i="534"/>
  <c r="I140" i="534"/>
  <c r="I171" i="534"/>
  <c r="J8" i="534"/>
  <c r="J108" i="534"/>
  <c r="J140" i="534"/>
  <c r="J171" i="534"/>
  <c r="K8" i="534"/>
  <c r="K108" i="534"/>
  <c r="K140" i="534"/>
  <c r="K171" i="534"/>
  <c r="L8" i="534"/>
  <c r="L108" i="534"/>
  <c r="L140" i="534"/>
  <c r="L171" i="534"/>
  <c r="M8" i="534"/>
  <c r="M108" i="534"/>
  <c r="M140" i="534"/>
  <c r="M171" i="534"/>
  <c r="N8" i="534"/>
  <c r="N108" i="534"/>
  <c r="N140" i="534"/>
  <c r="N171" i="534"/>
  <c r="O8" i="534"/>
  <c r="O108" i="534"/>
  <c r="O140" i="534"/>
  <c r="O171" i="534"/>
  <c r="P8" i="534"/>
  <c r="P108" i="534"/>
  <c r="P140" i="534"/>
  <c r="P171" i="534"/>
  <c r="Q8" i="534"/>
  <c r="Q108" i="534"/>
  <c r="Q140" i="534"/>
  <c r="Q171" i="534"/>
  <c r="R8" i="534"/>
  <c r="R108" i="534"/>
  <c r="R140" i="534"/>
  <c r="R171" i="534"/>
  <c r="H8" i="535"/>
  <c r="H108" i="535"/>
  <c r="H140" i="535"/>
  <c r="H171" i="535"/>
  <c r="I8" i="535"/>
  <c r="I108" i="535"/>
  <c r="I140" i="535"/>
  <c r="I171" i="535"/>
  <c r="J8" i="535"/>
  <c r="J108" i="535"/>
  <c r="J140" i="535"/>
  <c r="J171" i="535"/>
  <c r="K8" i="535"/>
  <c r="K108" i="535"/>
  <c r="K140" i="535"/>
  <c r="K171" i="535"/>
  <c r="L8" i="535"/>
  <c r="L108" i="535"/>
  <c r="L140" i="535"/>
  <c r="L171" i="535"/>
  <c r="M8" i="535"/>
  <c r="M108" i="535"/>
  <c r="M140" i="535"/>
  <c r="M171" i="535"/>
  <c r="N8" i="535"/>
  <c r="N108" i="535"/>
  <c r="N140" i="535"/>
  <c r="N171" i="535"/>
  <c r="O8" i="535"/>
  <c r="O108" i="535"/>
  <c r="O140" i="535"/>
  <c r="O171" i="535"/>
  <c r="P8" i="535"/>
  <c r="P108" i="535"/>
  <c r="P140" i="535"/>
  <c r="P171" i="535"/>
  <c r="Q8" i="535"/>
  <c r="Q108" i="535"/>
  <c r="Q140" i="535"/>
  <c r="Q171" i="535"/>
  <c r="R8" i="535"/>
  <c r="R108" i="535"/>
  <c r="R140" i="535"/>
  <c r="R171" i="535"/>
  <c r="H8" i="536"/>
  <c r="H108" i="536"/>
  <c r="H140" i="536"/>
  <c r="H171" i="536"/>
  <c r="I8" i="536"/>
  <c r="I108" i="536"/>
  <c r="I140" i="536"/>
  <c r="I171" i="536"/>
  <c r="J8" i="536"/>
  <c r="J108" i="536"/>
  <c r="J140" i="536"/>
  <c r="J171" i="536"/>
  <c r="K8" i="536"/>
  <c r="K108" i="536"/>
  <c r="K140" i="536"/>
  <c r="K171" i="536"/>
  <c r="L8" i="536"/>
  <c r="L108" i="536"/>
  <c r="L140" i="536"/>
  <c r="L171" i="536"/>
  <c r="M8" i="536"/>
  <c r="M108" i="536"/>
  <c r="M140" i="536"/>
  <c r="M171" i="536"/>
  <c r="N8" i="536"/>
  <c r="N108" i="536"/>
  <c r="N140" i="536"/>
  <c r="N171" i="536"/>
  <c r="O8" i="536"/>
  <c r="O108" i="536"/>
  <c r="O140" i="536"/>
  <c r="O171" i="536"/>
  <c r="P8" i="536"/>
  <c r="P108" i="536"/>
  <c r="P140" i="536"/>
  <c r="P171" i="536"/>
  <c r="Q8" i="536"/>
  <c r="Q108" i="536"/>
  <c r="Q140" i="536"/>
  <c r="Q171" i="536"/>
  <c r="R8" i="536"/>
  <c r="R108" i="536"/>
  <c r="R140" i="536"/>
  <c r="R171" i="536"/>
  <c r="H8" i="537"/>
  <c r="H108" i="537"/>
  <c r="H140" i="537"/>
  <c r="H171" i="537"/>
  <c r="I8" i="537"/>
  <c r="I108" i="537"/>
  <c r="I140" i="537"/>
  <c r="I171" i="537"/>
  <c r="J8" i="537"/>
  <c r="J108" i="537"/>
  <c r="J140" i="537"/>
  <c r="J171" i="537"/>
  <c r="K8" i="537"/>
  <c r="K108" i="537"/>
  <c r="K140" i="537"/>
  <c r="K171" i="537"/>
  <c r="L8" i="537"/>
  <c r="L108" i="537"/>
  <c r="L140" i="537"/>
  <c r="L171" i="537"/>
  <c r="M8" i="537"/>
  <c r="M108" i="537"/>
  <c r="M140" i="537"/>
  <c r="M171" i="537"/>
  <c r="N8" i="537"/>
  <c r="N108" i="537"/>
  <c r="N140" i="537"/>
  <c r="N171" i="537"/>
  <c r="O8" i="537"/>
  <c r="O108" i="537"/>
  <c r="O140" i="537"/>
  <c r="O171" i="537"/>
  <c r="P8" i="537"/>
  <c r="P108" i="537"/>
  <c r="P140" i="537"/>
  <c r="P171" i="537"/>
  <c r="Q8" i="537"/>
  <c r="Q108" i="537"/>
  <c r="Q140" i="537"/>
  <c r="Q171" i="537"/>
  <c r="R8" i="537"/>
  <c r="R108" i="537"/>
  <c r="R140" i="537"/>
  <c r="R171" i="537"/>
  <c r="H8" i="538"/>
  <c r="H108" i="538"/>
  <c r="H140" i="538"/>
  <c r="H171" i="538"/>
  <c r="I8" i="538"/>
  <c r="I108" i="538"/>
  <c r="I140" i="538"/>
  <c r="I171" i="538"/>
  <c r="J8" i="538"/>
  <c r="J108" i="538"/>
  <c r="J140" i="538"/>
  <c r="J171" i="538"/>
  <c r="K8" i="538"/>
  <c r="K108" i="538"/>
  <c r="K140" i="538"/>
  <c r="K171" i="538"/>
  <c r="L8" i="538"/>
  <c r="L108" i="538"/>
  <c r="L140" i="538"/>
  <c r="L171" i="538"/>
  <c r="M8" i="538"/>
  <c r="M108" i="538"/>
  <c r="M140" i="538"/>
  <c r="M171" i="538"/>
  <c r="N8" i="538"/>
  <c r="N108" i="538"/>
  <c r="N140" i="538"/>
  <c r="N171" i="538"/>
  <c r="O8" i="538"/>
  <c r="O108" i="538"/>
  <c r="O140" i="538"/>
  <c r="O171" i="538"/>
  <c r="P8" i="538"/>
  <c r="P108" i="538"/>
  <c r="P140" i="538"/>
  <c r="P171" i="538"/>
  <c r="Q8" i="538"/>
  <c r="Q108" i="538"/>
  <c r="Q140" i="538"/>
  <c r="Q171" i="538"/>
  <c r="R8" i="538"/>
  <c r="R108" i="538"/>
  <c r="R140" i="538"/>
  <c r="R171" i="538"/>
  <c r="H8" i="539"/>
  <c r="H108" i="539"/>
  <c r="H140" i="539"/>
  <c r="H171" i="539"/>
  <c r="I8" i="539"/>
  <c r="I108" i="539"/>
  <c r="I140" i="539"/>
  <c r="I171" i="539"/>
  <c r="J8" i="539"/>
  <c r="J108" i="539"/>
  <c r="J140" i="539"/>
  <c r="J171" i="539"/>
  <c r="K8" i="539"/>
  <c r="K108" i="539"/>
  <c r="K140" i="539"/>
  <c r="K171" i="539"/>
  <c r="L8" i="539"/>
  <c r="L108" i="539"/>
  <c r="L140" i="539"/>
  <c r="L171" i="539"/>
  <c r="M8" i="539"/>
  <c r="M108" i="539"/>
  <c r="M140" i="539"/>
  <c r="M171" i="539"/>
  <c r="N8" i="539"/>
  <c r="N108" i="539"/>
  <c r="N140" i="539"/>
  <c r="N171" i="539"/>
  <c r="O8" i="539"/>
  <c r="O108" i="539"/>
  <c r="O140" i="539"/>
  <c r="O171" i="539"/>
  <c r="P8" i="539"/>
  <c r="P108" i="539"/>
  <c r="P140" i="539"/>
  <c r="P171" i="539"/>
  <c r="Q8" i="539"/>
  <c r="Q108" i="539"/>
  <c r="Q140" i="539"/>
  <c r="Q171" i="539"/>
  <c r="R8" i="539"/>
  <c r="R108" i="539"/>
  <c r="R140" i="539"/>
  <c r="R171" i="539"/>
  <c r="H8" i="540"/>
  <c r="H108" i="540"/>
  <c r="H140" i="540"/>
  <c r="H171" i="540"/>
  <c r="I8" i="540"/>
  <c r="I108" i="540"/>
  <c r="I140" i="540"/>
  <c r="I171" i="540"/>
  <c r="J8" i="540"/>
  <c r="J108" i="540"/>
  <c r="J140" i="540"/>
  <c r="J171" i="540"/>
  <c r="K8" i="540"/>
  <c r="K108" i="540"/>
  <c r="K140" i="540"/>
  <c r="K171" i="540"/>
  <c r="L8" i="540"/>
  <c r="L108" i="540"/>
  <c r="L140" i="540"/>
  <c r="L171" i="540"/>
  <c r="M8" i="540"/>
  <c r="M108" i="540"/>
  <c r="M140" i="540"/>
  <c r="M171" i="540"/>
  <c r="N8" i="540"/>
  <c r="N108" i="540"/>
  <c r="N140" i="540"/>
  <c r="N171" i="540"/>
  <c r="O8" i="540"/>
  <c r="O108" i="540"/>
  <c r="O140" i="540"/>
  <c r="O171" i="540"/>
  <c r="P8" i="540"/>
  <c r="P108" i="540"/>
  <c r="P140" i="540"/>
  <c r="P171" i="540"/>
  <c r="Q8" i="540"/>
  <c r="Q108" i="540"/>
  <c r="Q140" i="540"/>
  <c r="Q171" i="540"/>
  <c r="R8" i="540"/>
  <c r="R108" i="540"/>
  <c r="R140" i="540"/>
  <c r="R171" i="540"/>
  <c r="H8" i="541"/>
  <c r="H108" i="541"/>
  <c r="H140" i="541"/>
  <c r="H171" i="541"/>
  <c r="I8" i="541"/>
  <c r="I108" i="541"/>
  <c r="I140" i="541"/>
  <c r="I171" i="541"/>
  <c r="J8" i="541"/>
  <c r="J108" i="541"/>
  <c r="J140" i="541"/>
  <c r="J171" i="541"/>
  <c r="K8" i="541"/>
  <c r="K108" i="541"/>
  <c r="K140" i="541"/>
  <c r="K171" i="541"/>
  <c r="L8" i="541"/>
  <c r="L108" i="541"/>
  <c r="L140" i="541"/>
  <c r="L171" i="541"/>
  <c r="M8" i="541"/>
  <c r="M108" i="541"/>
  <c r="M140" i="541"/>
  <c r="M171" i="541"/>
  <c r="N8" i="541"/>
  <c r="N108" i="541"/>
  <c r="N140" i="541"/>
  <c r="N171" i="541"/>
  <c r="O8" i="541"/>
  <c r="O108" i="541"/>
  <c r="O140" i="541"/>
  <c r="O171" i="541"/>
  <c r="P8" i="541"/>
  <c r="P108" i="541"/>
  <c r="P140" i="541"/>
  <c r="P171" i="541"/>
  <c r="Q8" i="541"/>
  <c r="Q108" i="541"/>
  <c r="Q140" i="541"/>
  <c r="Q171" i="541"/>
  <c r="R8" i="541"/>
  <c r="R108" i="541"/>
  <c r="R140" i="541"/>
  <c r="R171" i="541"/>
  <c r="H8" i="542"/>
  <c r="H108" i="542"/>
  <c r="H140" i="542"/>
  <c r="H171" i="542"/>
  <c r="I8" i="542"/>
  <c r="I108" i="542"/>
  <c r="I140" i="542"/>
  <c r="I171" i="542"/>
  <c r="J8" i="542"/>
  <c r="J108" i="542"/>
  <c r="J140" i="542"/>
  <c r="J171" i="542"/>
  <c r="K8" i="542"/>
  <c r="K108" i="542"/>
  <c r="K140" i="542"/>
  <c r="K171" i="542"/>
  <c r="L8" i="542"/>
  <c r="L108" i="542"/>
  <c r="L140" i="542"/>
  <c r="L171" i="542"/>
  <c r="M8" i="542"/>
  <c r="M108" i="542"/>
  <c r="M140" i="542"/>
  <c r="M171" i="542"/>
  <c r="N8" i="542"/>
  <c r="N108" i="542"/>
  <c r="N140" i="542"/>
  <c r="N171" i="542"/>
  <c r="O8" i="542"/>
  <c r="O108" i="542"/>
  <c r="O140" i="542"/>
  <c r="O171" i="542"/>
  <c r="P8" i="542"/>
  <c r="P108" i="542"/>
  <c r="P140" i="542"/>
  <c r="P171" i="542"/>
  <c r="Q8" i="542"/>
  <c r="Q108" i="542"/>
  <c r="Q140" i="542"/>
  <c r="Q171" i="542"/>
  <c r="R8" i="542"/>
  <c r="R108" i="542"/>
  <c r="R140" i="542"/>
  <c r="R171" i="542"/>
  <c r="H8" i="543"/>
  <c r="H108" i="543"/>
  <c r="H140" i="543"/>
  <c r="H171" i="543"/>
  <c r="I8" i="543"/>
  <c r="I108" i="543"/>
  <c r="I140" i="543"/>
  <c r="I171" i="543"/>
  <c r="J8" i="543"/>
  <c r="J108" i="543"/>
  <c r="J140" i="543"/>
  <c r="J171" i="543"/>
  <c r="K8" i="543"/>
  <c r="K108" i="543"/>
  <c r="K140" i="543"/>
  <c r="K171" i="543"/>
  <c r="L8" i="543"/>
  <c r="L108" i="543"/>
  <c r="L140" i="543"/>
  <c r="L171" i="543"/>
  <c r="M8" i="543"/>
  <c r="M108" i="543"/>
  <c r="M140" i="543"/>
  <c r="M171" i="543"/>
  <c r="N8" i="543"/>
  <c r="N108" i="543"/>
  <c r="N140" i="543"/>
  <c r="N171" i="543"/>
  <c r="O8" i="543"/>
  <c r="O108" i="543"/>
  <c r="O140" i="543"/>
  <c r="O171" i="543"/>
  <c r="P8" i="543"/>
  <c r="P108" i="543"/>
  <c r="P140" i="543"/>
  <c r="P171" i="543"/>
  <c r="Q8" i="543"/>
  <c r="Q108" i="543"/>
  <c r="Q140" i="543"/>
  <c r="Q171" i="543"/>
  <c r="R8" i="543"/>
  <c r="R108" i="543"/>
  <c r="R140" i="543"/>
  <c r="R171" i="543"/>
  <c r="H8" i="544"/>
  <c r="H108" i="544"/>
  <c r="H140" i="544"/>
  <c r="H171" i="544"/>
  <c r="I8" i="544"/>
  <c r="I108" i="544"/>
  <c r="I140" i="544"/>
  <c r="I171" i="544"/>
  <c r="J8" i="544"/>
  <c r="J108" i="544"/>
  <c r="J140" i="544"/>
  <c r="J171" i="544"/>
  <c r="K8" i="544"/>
  <c r="K108" i="544"/>
  <c r="K140" i="544"/>
  <c r="K171" i="544"/>
  <c r="L8" i="544"/>
  <c r="L108" i="544"/>
  <c r="L140" i="544"/>
  <c r="L171" i="544"/>
  <c r="M8" i="544"/>
  <c r="M108" i="544"/>
  <c r="M140" i="544"/>
  <c r="M171" i="544"/>
  <c r="N8" i="544"/>
  <c r="N108" i="544"/>
  <c r="N140" i="544"/>
  <c r="N171" i="544"/>
  <c r="O8" i="544"/>
  <c r="O108" i="544"/>
  <c r="O140" i="544"/>
  <c r="O171" i="544"/>
  <c r="P8" i="544"/>
  <c r="P108" i="544"/>
  <c r="P140" i="544"/>
  <c r="P171" i="544"/>
  <c r="Q8" i="544"/>
  <c r="Q108" i="544"/>
  <c r="Q140" i="544"/>
  <c r="Q171" i="544"/>
  <c r="R8" i="544"/>
  <c r="R108" i="544"/>
  <c r="R140" i="544"/>
  <c r="R171" i="544"/>
  <c r="H8" i="545"/>
  <c r="H108" i="545"/>
  <c r="H140" i="545"/>
  <c r="H171" i="545"/>
  <c r="I8" i="545"/>
  <c r="I108" i="545"/>
  <c r="I140" i="545"/>
  <c r="I171" i="545"/>
  <c r="J8" i="545"/>
  <c r="J108" i="545"/>
  <c r="J140" i="545"/>
  <c r="J171" i="545"/>
  <c r="K8" i="545"/>
  <c r="K108" i="545"/>
  <c r="K140" i="545"/>
  <c r="K171" i="545"/>
  <c r="L8" i="545"/>
  <c r="L108" i="545"/>
  <c r="L140" i="545"/>
  <c r="L171" i="545"/>
  <c r="M8" i="545"/>
  <c r="M108" i="545"/>
  <c r="M140" i="545"/>
  <c r="M171" i="545"/>
  <c r="N8" i="545"/>
  <c r="N108" i="545"/>
  <c r="N140" i="545"/>
  <c r="N171" i="545"/>
  <c r="O8" i="545"/>
  <c r="O108" i="545"/>
  <c r="O140" i="545"/>
  <c r="O171" i="545"/>
  <c r="P8" i="545"/>
  <c r="P108" i="545"/>
  <c r="P140" i="545"/>
  <c r="P171" i="545"/>
  <c r="Q8" i="545"/>
  <c r="Q108" i="545"/>
  <c r="Q140" i="545"/>
  <c r="Q171" i="545"/>
  <c r="R8" i="545"/>
  <c r="R108" i="545"/>
  <c r="R140" i="545"/>
  <c r="R171" i="545"/>
  <c r="H108" i="270"/>
  <c r="H140" i="270"/>
  <c r="H171" i="270"/>
  <c r="I108" i="270"/>
  <c r="I140" i="270"/>
  <c r="I171" i="270"/>
  <c r="J108" i="270"/>
  <c r="J140" i="270"/>
  <c r="J171" i="270"/>
  <c r="K108" i="270"/>
  <c r="K140" i="270"/>
  <c r="K171" i="270"/>
  <c r="L108" i="270"/>
  <c r="L140" i="270"/>
  <c r="L171" i="270"/>
  <c r="M108" i="270"/>
  <c r="M140" i="270"/>
  <c r="M171" i="270"/>
  <c r="N108" i="270"/>
  <c r="N140" i="270"/>
  <c r="N171" i="270"/>
  <c r="O108" i="270"/>
  <c r="O140" i="270"/>
  <c r="O171" i="270"/>
  <c r="P108" i="270"/>
  <c r="P140" i="270"/>
  <c r="P171" i="270"/>
  <c r="Q108" i="270"/>
  <c r="Q140" i="270"/>
  <c r="Q171" i="270"/>
  <c r="R108" i="270"/>
  <c r="R140" i="270"/>
  <c r="R171" i="270"/>
  <c r="G108" i="531"/>
  <c r="G140" i="531"/>
  <c r="G171" i="531"/>
  <c r="G108" i="532"/>
  <c r="G140" i="532"/>
  <c r="G171" i="532"/>
  <c r="G108" i="533"/>
  <c r="G140" i="533"/>
  <c r="G171" i="533"/>
  <c r="G108" i="534"/>
  <c r="G140" i="534"/>
  <c r="G171" i="534"/>
  <c r="G108" i="535"/>
  <c r="G140" i="535"/>
  <c r="G171" i="535"/>
  <c r="G108" i="536"/>
  <c r="G140" i="536"/>
  <c r="G171" i="536"/>
  <c r="G108" i="537"/>
  <c r="G140" i="537"/>
  <c r="G171" i="537"/>
  <c r="G108" i="538"/>
  <c r="G140" i="538"/>
  <c r="G171" i="538"/>
  <c r="G108" i="539"/>
  <c r="G140" i="539"/>
  <c r="G171" i="539"/>
  <c r="G108" i="540"/>
  <c r="G140" i="540"/>
  <c r="G171" i="540"/>
  <c r="G108" i="541"/>
  <c r="G140" i="541"/>
  <c r="G171" i="541"/>
  <c r="G108" i="542"/>
  <c r="G140" i="542"/>
  <c r="G171" i="542"/>
  <c r="G108" i="543"/>
  <c r="G140" i="543"/>
  <c r="G171" i="543"/>
  <c r="G108" i="544"/>
  <c r="G140" i="544"/>
  <c r="G171" i="544"/>
  <c r="G108" i="545"/>
  <c r="G140" i="545"/>
  <c r="G171" i="545"/>
  <c r="D171" i="531"/>
  <c r="B73" i="531"/>
  <c r="D172" i="531"/>
  <c r="D171" i="532"/>
  <c r="B73" i="532"/>
  <c r="D172" i="532"/>
  <c r="D171" i="533"/>
  <c r="B73" i="533"/>
  <c r="D172" i="533"/>
  <c r="D171" i="534"/>
  <c r="B73" i="534"/>
  <c r="D172" i="534"/>
  <c r="D171" i="535"/>
  <c r="B73" i="535"/>
  <c r="D172" i="535"/>
  <c r="D171" i="536"/>
  <c r="B73" i="536"/>
  <c r="D172" i="536"/>
  <c r="D171" i="537"/>
  <c r="B73" i="537"/>
  <c r="D172" i="537"/>
  <c r="D171" i="538"/>
  <c r="B73" i="538"/>
  <c r="D172" i="538"/>
  <c r="D171" i="539"/>
  <c r="B73" i="539"/>
  <c r="D172" i="539"/>
  <c r="D171" i="540"/>
  <c r="B73" i="540"/>
  <c r="D172" i="540"/>
  <c r="D171" i="541"/>
  <c r="B73" i="541"/>
  <c r="D172" i="541"/>
  <c r="D171" i="542"/>
  <c r="B73" i="542"/>
  <c r="D172" i="542"/>
  <c r="D171" i="543"/>
  <c r="B73" i="543"/>
  <c r="D172" i="543"/>
  <c r="D171" i="544"/>
  <c r="B73" i="544"/>
  <c r="D172" i="544"/>
  <c r="D171" i="545"/>
  <c r="B73" i="545"/>
  <c r="D172" i="545"/>
  <c r="D171" i="270"/>
  <c r="B73" i="270"/>
  <c r="D172" i="270"/>
  <c r="B145" i="531"/>
  <c r="B146" i="531"/>
  <c r="B147" i="531"/>
  <c r="B148" i="531"/>
  <c r="B149" i="531"/>
  <c r="B150" i="531"/>
  <c r="B151" i="531"/>
  <c r="B152" i="531"/>
  <c r="B153" i="531"/>
  <c r="B154" i="531"/>
  <c r="B155" i="531"/>
  <c r="B156" i="531"/>
  <c r="B157" i="531"/>
  <c r="B158" i="531"/>
  <c r="B159" i="531"/>
  <c r="B160" i="531"/>
  <c r="B161" i="531"/>
  <c r="B162" i="531"/>
  <c r="B163" i="531"/>
  <c r="B164" i="531"/>
  <c r="B165" i="531"/>
  <c r="B166" i="531"/>
  <c r="B167" i="531"/>
  <c r="B168" i="531"/>
  <c r="B169" i="531"/>
  <c r="B170" i="531"/>
  <c r="B171" i="531"/>
  <c r="B172" i="531"/>
  <c r="B145" i="532"/>
  <c r="B146" i="532"/>
  <c r="B147" i="532"/>
  <c r="B148" i="532"/>
  <c r="B149" i="532"/>
  <c r="B150" i="532"/>
  <c r="B151" i="532"/>
  <c r="B152" i="532"/>
  <c r="B153" i="532"/>
  <c r="B154" i="532"/>
  <c r="B155" i="532"/>
  <c r="B156" i="532"/>
  <c r="B157" i="532"/>
  <c r="B158" i="532"/>
  <c r="B159" i="532"/>
  <c r="B160" i="532"/>
  <c r="B161" i="532"/>
  <c r="B162" i="532"/>
  <c r="B163" i="532"/>
  <c r="B164" i="532"/>
  <c r="B165" i="532"/>
  <c r="B166" i="532"/>
  <c r="B167" i="532"/>
  <c r="B168" i="532"/>
  <c r="B169" i="532"/>
  <c r="B170" i="532"/>
  <c r="B171" i="532"/>
  <c r="B172" i="532"/>
  <c r="B145" i="533"/>
  <c r="B146" i="533"/>
  <c r="B147" i="533"/>
  <c r="B148" i="533"/>
  <c r="B149" i="533"/>
  <c r="B150" i="533"/>
  <c r="B151" i="533"/>
  <c r="B152" i="533"/>
  <c r="B153" i="533"/>
  <c r="B154" i="533"/>
  <c r="B155" i="533"/>
  <c r="B156" i="533"/>
  <c r="B157" i="533"/>
  <c r="B158" i="533"/>
  <c r="B159" i="533"/>
  <c r="B160" i="533"/>
  <c r="B161" i="533"/>
  <c r="B162" i="533"/>
  <c r="B163" i="533"/>
  <c r="B164" i="533"/>
  <c r="B165" i="533"/>
  <c r="B166" i="533"/>
  <c r="B167" i="533"/>
  <c r="B168" i="533"/>
  <c r="B169" i="533"/>
  <c r="B170" i="533"/>
  <c r="B171" i="533"/>
  <c r="B172" i="533"/>
  <c r="B145" i="534"/>
  <c r="B146" i="534"/>
  <c r="B147" i="534"/>
  <c r="B148" i="534"/>
  <c r="B149" i="534"/>
  <c r="B150" i="534"/>
  <c r="B151" i="534"/>
  <c r="B152" i="534"/>
  <c r="B153" i="534"/>
  <c r="B154" i="534"/>
  <c r="B155" i="534"/>
  <c r="B156" i="534"/>
  <c r="B157" i="534"/>
  <c r="B158" i="534"/>
  <c r="B159" i="534"/>
  <c r="B160" i="534"/>
  <c r="B161" i="534"/>
  <c r="B162" i="534"/>
  <c r="B163" i="534"/>
  <c r="B164" i="534"/>
  <c r="B165" i="534"/>
  <c r="B166" i="534"/>
  <c r="B167" i="534"/>
  <c r="B168" i="534"/>
  <c r="B169" i="534"/>
  <c r="B170" i="534"/>
  <c r="B171" i="534"/>
  <c r="B172" i="534"/>
  <c r="B145" i="535"/>
  <c r="B146" i="535"/>
  <c r="B147" i="535"/>
  <c r="B148" i="535"/>
  <c r="B149" i="535"/>
  <c r="B150" i="535"/>
  <c r="B151" i="535"/>
  <c r="B152" i="535"/>
  <c r="B153" i="535"/>
  <c r="B154" i="535"/>
  <c r="B155" i="535"/>
  <c r="B156" i="535"/>
  <c r="B157" i="535"/>
  <c r="B158" i="535"/>
  <c r="B159" i="535"/>
  <c r="B160" i="535"/>
  <c r="B161" i="535"/>
  <c r="B162" i="535"/>
  <c r="B163" i="535"/>
  <c r="B164" i="535"/>
  <c r="B165" i="535"/>
  <c r="B166" i="535"/>
  <c r="B167" i="535"/>
  <c r="B168" i="535"/>
  <c r="B169" i="535"/>
  <c r="B170" i="535"/>
  <c r="B171" i="535"/>
  <c r="B172" i="535"/>
  <c r="B145" i="536"/>
  <c r="B146" i="536"/>
  <c r="B147" i="536"/>
  <c r="B148" i="536"/>
  <c r="B149" i="536"/>
  <c r="B150" i="536"/>
  <c r="B151" i="536"/>
  <c r="B152" i="536"/>
  <c r="B153" i="536"/>
  <c r="B154" i="536"/>
  <c r="B155" i="536"/>
  <c r="B156" i="536"/>
  <c r="B157" i="536"/>
  <c r="B158" i="536"/>
  <c r="B159" i="536"/>
  <c r="B160" i="536"/>
  <c r="B161" i="536"/>
  <c r="B162" i="536"/>
  <c r="B163" i="536"/>
  <c r="B164" i="536"/>
  <c r="B165" i="536"/>
  <c r="B166" i="536"/>
  <c r="B167" i="536"/>
  <c r="B168" i="536"/>
  <c r="B169" i="536"/>
  <c r="B170" i="536"/>
  <c r="B171" i="536"/>
  <c r="B172" i="536"/>
  <c r="B145" i="537"/>
  <c r="B146" i="537"/>
  <c r="B147" i="537"/>
  <c r="B148" i="537"/>
  <c r="B149" i="537"/>
  <c r="B150" i="537"/>
  <c r="B151" i="537"/>
  <c r="B152" i="537"/>
  <c r="B153" i="537"/>
  <c r="B154" i="537"/>
  <c r="B155" i="537"/>
  <c r="B156" i="537"/>
  <c r="B157" i="537"/>
  <c r="B158" i="537"/>
  <c r="B159" i="537"/>
  <c r="B160" i="537"/>
  <c r="B161" i="537"/>
  <c r="B162" i="537"/>
  <c r="B163" i="537"/>
  <c r="B164" i="537"/>
  <c r="B165" i="537"/>
  <c r="B166" i="537"/>
  <c r="B167" i="537"/>
  <c r="B168" i="537"/>
  <c r="B169" i="537"/>
  <c r="B170" i="537"/>
  <c r="B171" i="537"/>
  <c r="B172" i="537"/>
  <c r="B145" i="538"/>
  <c r="B146" i="538"/>
  <c r="B147" i="538"/>
  <c r="B148" i="538"/>
  <c r="B149" i="538"/>
  <c r="B150" i="538"/>
  <c r="B151" i="538"/>
  <c r="B152" i="538"/>
  <c r="B153" i="538"/>
  <c r="B154" i="538"/>
  <c r="B155" i="538"/>
  <c r="B156" i="538"/>
  <c r="B157" i="538"/>
  <c r="B158" i="538"/>
  <c r="B159" i="538"/>
  <c r="B160" i="538"/>
  <c r="B161" i="538"/>
  <c r="B162" i="538"/>
  <c r="B163" i="538"/>
  <c r="B164" i="538"/>
  <c r="B165" i="538"/>
  <c r="B166" i="538"/>
  <c r="B167" i="538"/>
  <c r="B168" i="538"/>
  <c r="B169" i="538"/>
  <c r="B170" i="538"/>
  <c r="B171" i="538"/>
  <c r="B172" i="538"/>
  <c r="B145" i="539"/>
  <c r="B146" i="539"/>
  <c r="B147" i="539"/>
  <c r="B148" i="539"/>
  <c r="B149" i="539"/>
  <c r="B150" i="539"/>
  <c r="B151" i="539"/>
  <c r="B152" i="539"/>
  <c r="B153" i="539"/>
  <c r="B154" i="539"/>
  <c r="B155" i="539"/>
  <c r="B156" i="539"/>
  <c r="B157" i="539"/>
  <c r="B158" i="539"/>
  <c r="B159" i="539"/>
  <c r="B160" i="539"/>
  <c r="B161" i="539"/>
  <c r="B162" i="539"/>
  <c r="B163" i="539"/>
  <c r="B164" i="539"/>
  <c r="B165" i="539"/>
  <c r="B166" i="539"/>
  <c r="B167" i="539"/>
  <c r="B168" i="539"/>
  <c r="B169" i="539"/>
  <c r="B170" i="539"/>
  <c r="B171" i="539"/>
  <c r="B172" i="539"/>
  <c r="B145" i="540"/>
  <c r="B146" i="540"/>
  <c r="B147" i="540"/>
  <c r="B148" i="540"/>
  <c r="B149" i="540"/>
  <c r="B150" i="540"/>
  <c r="B151" i="540"/>
  <c r="B152" i="540"/>
  <c r="B153" i="540"/>
  <c r="B154" i="540"/>
  <c r="B155" i="540"/>
  <c r="B156" i="540"/>
  <c r="B157" i="540"/>
  <c r="B158" i="540"/>
  <c r="B159" i="540"/>
  <c r="B160" i="540"/>
  <c r="B161" i="540"/>
  <c r="B162" i="540"/>
  <c r="B163" i="540"/>
  <c r="B164" i="540"/>
  <c r="B165" i="540"/>
  <c r="B166" i="540"/>
  <c r="B167" i="540"/>
  <c r="B168" i="540"/>
  <c r="B169" i="540"/>
  <c r="B170" i="540"/>
  <c r="B171" i="540"/>
  <c r="B172" i="540"/>
  <c r="B145" i="541"/>
  <c r="B146" i="541"/>
  <c r="B147" i="541"/>
  <c r="B148" i="541"/>
  <c r="B149" i="541"/>
  <c r="B150" i="541"/>
  <c r="B151" i="541"/>
  <c r="B152" i="541"/>
  <c r="B153" i="541"/>
  <c r="B154" i="541"/>
  <c r="B155" i="541"/>
  <c r="B156" i="541"/>
  <c r="B157" i="541"/>
  <c r="B158" i="541"/>
  <c r="B159" i="541"/>
  <c r="B160" i="541"/>
  <c r="B161" i="541"/>
  <c r="B162" i="541"/>
  <c r="B163" i="541"/>
  <c r="B164" i="541"/>
  <c r="B165" i="541"/>
  <c r="B166" i="541"/>
  <c r="B167" i="541"/>
  <c r="B168" i="541"/>
  <c r="B169" i="541"/>
  <c r="B170" i="541"/>
  <c r="B171" i="541"/>
  <c r="B172" i="541"/>
  <c r="B145" i="542"/>
  <c r="B146" i="542"/>
  <c r="B147" i="542"/>
  <c r="B148" i="542"/>
  <c r="B149" i="542"/>
  <c r="B150" i="542"/>
  <c r="B151" i="542"/>
  <c r="B152" i="542"/>
  <c r="B153" i="542"/>
  <c r="B154" i="542"/>
  <c r="B155" i="542"/>
  <c r="B156" i="542"/>
  <c r="B157" i="542"/>
  <c r="B158" i="542"/>
  <c r="B159" i="542"/>
  <c r="B160" i="542"/>
  <c r="B161" i="542"/>
  <c r="B162" i="542"/>
  <c r="B163" i="542"/>
  <c r="B164" i="542"/>
  <c r="B165" i="542"/>
  <c r="B166" i="542"/>
  <c r="B167" i="542"/>
  <c r="B168" i="542"/>
  <c r="B169" i="542"/>
  <c r="B170" i="542"/>
  <c r="B171" i="542"/>
  <c r="B172" i="542"/>
  <c r="B145" i="543"/>
  <c r="B146" i="543"/>
  <c r="B147" i="543"/>
  <c r="B148" i="543"/>
  <c r="B149" i="543"/>
  <c r="B150" i="543"/>
  <c r="B151" i="543"/>
  <c r="B152" i="543"/>
  <c r="B153" i="543"/>
  <c r="B154" i="543"/>
  <c r="B155" i="543"/>
  <c r="B156" i="543"/>
  <c r="B157" i="543"/>
  <c r="B158" i="543"/>
  <c r="B159" i="543"/>
  <c r="B160" i="543"/>
  <c r="B161" i="543"/>
  <c r="B162" i="543"/>
  <c r="B163" i="543"/>
  <c r="B164" i="543"/>
  <c r="B165" i="543"/>
  <c r="B166" i="543"/>
  <c r="B167" i="543"/>
  <c r="B168" i="543"/>
  <c r="B169" i="543"/>
  <c r="B170" i="543"/>
  <c r="B171" i="543"/>
  <c r="B172" i="543"/>
  <c r="B145" i="544"/>
  <c r="B146" i="544"/>
  <c r="B147" i="544"/>
  <c r="B148" i="544"/>
  <c r="B149" i="544"/>
  <c r="B150" i="544"/>
  <c r="B151" i="544"/>
  <c r="B152" i="544"/>
  <c r="B153" i="544"/>
  <c r="B154" i="544"/>
  <c r="B155" i="544"/>
  <c r="B156" i="544"/>
  <c r="B157" i="544"/>
  <c r="B158" i="544"/>
  <c r="B159" i="544"/>
  <c r="B160" i="544"/>
  <c r="B161" i="544"/>
  <c r="B162" i="544"/>
  <c r="B163" i="544"/>
  <c r="B164" i="544"/>
  <c r="B165" i="544"/>
  <c r="B166" i="544"/>
  <c r="B167" i="544"/>
  <c r="B168" i="544"/>
  <c r="B169" i="544"/>
  <c r="B170" i="544"/>
  <c r="B171" i="544"/>
  <c r="B172" i="544"/>
  <c r="B145" i="545"/>
  <c r="B146" i="545"/>
  <c r="B147" i="545"/>
  <c r="B148" i="545"/>
  <c r="B149" i="545"/>
  <c r="B150" i="545"/>
  <c r="B151" i="545"/>
  <c r="B152" i="545"/>
  <c r="B153" i="545"/>
  <c r="B154" i="545"/>
  <c r="B155" i="545"/>
  <c r="B156" i="545"/>
  <c r="B157" i="545"/>
  <c r="B158" i="545"/>
  <c r="B159" i="545"/>
  <c r="B160" i="545"/>
  <c r="B161" i="545"/>
  <c r="B162" i="545"/>
  <c r="B163" i="545"/>
  <c r="B164" i="545"/>
  <c r="B165" i="545"/>
  <c r="B166" i="545"/>
  <c r="B167" i="545"/>
  <c r="B168" i="545"/>
  <c r="B169" i="545"/>
  <c r="B170" i="545"/>
  <c r="B171" i="545"/>
  <c r="B172" i="545"/>
  <c r="B145" i="270"/>
  <c r="B146" i="270"/>
  <c r="B147" i="270"/>
  <c r="B148" i="270"/>
  <c r="B149" i="270"/>
  <c r="B150" i="270"/>
  <c r="B151" i="270"/>
  <c r="B152" i="270"/>
  <c r="B153" i="270"/>
  <c r="B154" i="270"/>
  <c r="B155" i="270"/>
  <c r="B156" i="270"/>
  <c r="B157" i="270"/>
  <c r="B158" i="270"/>
  <c r="B159" i="270"/>
  <c r="B160" i="270"/>
  <c r="B161" i="270"/>
  <c r="B162" i="270"/>
  <c r="B163" i="270"/>
  <c r="B164" i="270"/>
  <c r="B165" i="270"/>
  <c r="B166" i="270"/>
  <c r="B167" i="270"/>
  <c r="B168" i="270"/>
  <c r="B169" i="270"/>
  <c r="B170" i="270"/>
  <c r="B171" i="270"/>
  <c r="B172" i="270"/>
  <c r="M45" i="531"/>
  <c r="M46" i="531"/>
  <c r="H9" i="531"/>
  <c r="I9" i="531"/>
  <c r="J9" i="531"/>
  <c r="K9" i="531"/>
  <c r="L9" i="531"/>
  <c r="M9" i="531"/>
  <c r="H4" i="531"/>
  <c r="I4" i="531"/>
  <c r="J4" i="531"/>
  <c r="K4" i="531"/>
  <c r="L4" i="531"/>
  <c r="M4" i="531"/>
  <c r="M110" i="531"/>
  <c r="M111" i="531"/>
  <c r="M112" i="531"/>
  <c r="M113" i="531"/>
  <c r="M47" i="531"/>
  <c r="H10" i="531"/>
  <c r="I10" i="531"/>
  <c r="J10" i="531"/>
  <c r="K10" i="531"/>
  <c r="L10" i="531"/>
  <c r="M10" i="531"/>
  <c r="M48" i="531"/>
  <c r="H11" i="531"/>
  <c r="I11" i="531"/>
  <c r="J11" i="531"/>
  <c r="K11" i="531"/>
  <c r="L11" i="531"/>
  <c r="M11" i="531"/>
  <c r="D49" i="531"/>
  <c r="M49" i="531"/>
  <c r="H12" i="531"/>
  <c r="I12" i="531"/>
  <c r="J12" i="531"/>
  <c r="K12" i="531"/>
  <c r="L12" i="531"/>
  <c r="M12" i="531"/>
  <c r="D50" i="531"/>
  <c r="M50" i="531"/>
  <c r="H13" i="531"/>
  <c r="I13" i="531"/>
  <c r="J13" i="531"/>
  <c r="K13" i="531"/>
  <c r="L13" i="531"/>
  <c r="M13" i="531"/>
  <c r="D51" i="531"/>
  <c r="M51" i="531"/>
  <c r="H14" i="531"/>
  <c r="I14" i="531"/>
  <c r="J14" i="531"/>
  <c r="K14" i="531"/>
  <c r="L14" i="531"/>
  <c r="M14" i="531"/>
  <c r="D52" i="531"/>
  <c r="M52" i="531"/>
  <c r="H15" i="531"/>
  <c r="I15" i="531"/>
  <c r="J15" i="531"/>
  <c r="K15" i="531"/>
  <c r="L15" i="531"/>
  <c r="M15" i="531"/>
  <c r="D53" i="531"/>
  <c r="M53" i="531"/>
  <c r="H16" i="531"/>
  <c r="I16" i="531"/>
  <c r="J16" i="531"/>
  <c r="K16" i="531"/>
  <c r="L16" i="531"/>
  <c r="M16" i="531"/>
  <c r="D54" i="531"/>
  <c r="M54" i="531"/>
  <c r="H17" i="531"/>
  <c r="I17" i="531"/>
  <c r="J17" i="531"/>
  <c r="K17" i="531"/>
  <c r="L17" i="531"/>
  <c r="M17" i="531"/>
  <c r="M55" i="531"/>
  <c r="H18" i="531"/>
  <c r="I18" i="531"/>
  <c r="J18" i="531"/>
  <c r="K18" i="531"/>
  <c r="L18" i="531"/>
  <c r="M18" i="531"/>
  <c r="M56" i="531"/>
  <c r="M57" i="531"/>
  <c r="M58" i="531"/>
  <c r="M59" i="531"/>
  <c r="H20" i="531"/>
  <c r="I20" i="531"/>
  <c r="J20" i="531"/>
  <c r="K20" i="531"/>
  <c r="L20" i="531"/>
  <c r="M20" i="531"/>
  <c r="D60" i="531"/>
  <c r="E60" i="531"/>
  <c r="M60" i="531"/>
  <c r="M61" i="531"/>
  <c r="M62" i="531"/>
  <c r="H23" i="531"/>
  <c r="I23" i="531"/>
  <c r="J23" i="531"/>
  <c r="K23" i="531"/>
  <c r="L23" i="531"/>
  <c r="M23" i="531"/>
  <c r="M63" i="531"/>
  <c r="M69" i="531"/>
  <c r="M68" i="531"/>
  <c r="M72" i="531"/>
  <c r="M97" i="531"/>
  <c r="N45" i="531"/>
  <c r="N46" i="531"/>
  <c r="N9" i="531"/>
  <c r="N4" i="531"/>
  <c r="N110" i="531"/>
  <c r="N111" i="531"/>
  <c r="N112" i="531"/>
  <c r="N113" i="531"/>
  <c r="N47" i="531"/>
  <c r="N10" i="531"/>
  <c r="N48" i="531"/>
  <c r="N11" i="531"/>
  <c r="N49" i="531"/>
  <c r="N12" i="531"/>
  <c r="N50" i="531"/>
  <c r="N13" i="531"/>
  <c r="N51" i="531"/>
  <c r="N14" i="531"/>
  <c r="N52" i="531"/>
  <c r="N15" i="531"/>
  <c r="N53" i="531"/>
  <c r="N16" i="531"/>
  <c r="N54" i="531"/>
  <c r="N17" i="531"/>
  <c r="N55" i="531"/>
  <c r="N18" i="531"/>
  <c r="N56" i="531"/>
  <c r="N57" i="531"/>
  <c r="N58" i="531"/>
  <c r="N59" i="531"/>
  <c r="N20" i="531"/>
  <c r="N60" i="531"/>
  <c r="N61" i="531"/>
  <c r="N62" i="531"/>
  <c r="N23" i="531"/>
  <c r="N63" i="531"/>
  <c r="N69" i="531"/>
  <c r="N68" i="531"/>
  <c r="N72" i="531"/>
  <c r="N97" i="531"/>
  <c r="O45" i="531"/>
  <c r="O46" i="531"/>
  <c r="O9" i="531"/>
  <c r="O4" i="531"/>
  <c r="O110" i="531"/>
  <c r="O111" i="531"/>
  <c r="O112" i="531"/>
  <c r="O113" i="531"/>
  <c r="O47" i="531"/>
  <c r="O10" i="531"/>
  <c r="O48" i="531"/>
  <c r="O11" i="531"/>
  <c r="O49" i="531"/>
  <c r="O12" i="531"/>
  <c r="O50" i="531"/>
  <c r="O13" i="531"/>
  <c r="O51" i="531"/>
  <c r="O14" i="531"/>
  <c r="O52" i="531"/>
  <c r="O15" i="531"/>
  <c r="O53" i="531"/>
  <c r="O16" i="531"/>
  <c r="O54" i="531"/>
  <c r="O17" i="531"/>
  <c r="O55" i="531"/>
  <c r="O18" i="531"/>
  <c r="O56" i="531"/>
  <c r="O57" i="531"/>
  <c r="O58" i="531"/>
  <c r="O59" i="531"/>
  <c r="O20" i="531"/>
  <c r="O60" i="531"/>
  <c r="O61" i="531"/>
  <c r="O62" i="531"/>
  <c r="O23" i="531"/>
  <c r="O63" i="531"/>
  <c r="O69" i="531"/>
  <c r="O68" i="531"/>
  <c r="O72" i="531"/>
  <c r="O97" i="531"/>
  <c r="P45" i="531"/>
  <c r="P46" i="531"/>
  <c r="P9" i="531"/>
  <c r="P4" i="531"/>
  <c r="P6" i="531"/>
  <c r="P110" i="531"/>
  <c r="P111" i="531"/>
  <c r="P112" i="531"/>
  <c r="P113" i="531"/>
  <c r="P47" i="531"/>
  <c r="P10" i="531"/>
  <c r="P48" i="531"/>
  <c r="P11" i="531"/>
  <c r="P49" i="531"/>
  <c r="P12" i="531"/>
  <c r="P50" i="531"/>
  <c r="P13" i="531"/>
  <c r="P51" i="531"/>
  <c r="P14" i="531"/>
  <c r="P52" i="531"/>
  <c r="P15" i="531"/>
  <c r="P53" i="531"/>
  <c r="P16" i="531"/>
  <c r="P54" i="531"/>
  <c r="P17" i="531"/>
  <c r="P55" i="531"/>
  <c r="P18" i="531"/>
  <c r="P56" i="531"/>
  <c r="P57" i="531"/>
  <c r="P58" i="531"/>
  <c r="P59" i="531"/>
  <c r="P20" i="531"/>
  <c r="P60" i="531"/>
  <c r="P61" i="531"/>
  <c r="P62" i="531"/>
  <c r="P63" i="531"/>
  <c r="P69" i="531"/>
  <c r="H45" i="531"/>
  <c r="H46" i="531"/>
  <c r="H110" i="531"/>
  <c r="H111" i="531"/>
  <c r="H112" i="531"/>
  <c r="H113" i="531"/>
  <c r="H47" i="531"/>
  <c r="H49" i="531"/>
  <c r="H50" i="531"/>
  <c r="H51" i="531"/>
  <c r="H52" i="531"/>
  <c r="H53" i="531"/>
  <c r="H54" i="531"/>
  <c r="H55" i="531"/>
  <c r="H56" i="531"/>
  <c r="H57" i="531"/>
  <c r="H58" i="531"/>
  <c r="H59" i="531"/>
  <c r="H60" i="531"/>
  <c r="H61" i="531"/>
  <c r="H48" i="531"/>
  <c r="H62" i="531"/>
  <c r="H63" i="531"/>
  <c r="H69" i="531"/>
  <c r="H68" i="531"/>
  <c r="H72" i="531"/>
  <c r="H96" i="531"/>
  <c r="I45" i="531"/>
  <c r="I46" i="531"/>
  <c r="I110" i="531"/>
  <c r="I111" i="531"/>
  <c r="I112" i="531"/>
  <c r="I113" i="531"/>
  <c r="I47" i="531"/>
  <c r="I48" i="531"/>
  <c r="I49" i="531"/>
  <c r="I50" i="531"/>
  <c r="I51" i="531"/>
  <c r="I52" i="531"/>
  <c r="I53" i="531"/>
  <c r="I54" i="531"/>
  <c r="I55" i="531"/>
  <c r="I56" i="531"/>
  <c r="I57" i="531"/>
  <c r="I58" i="531"/>
  <c r="I59" i="531"/>
  <c r="I60" i="531"/>
  <c r="I61" i="531"/>
  <c r="I62" i="531"/>
  <c r="I63" i="531"/>
  <c r="I69" i="531"/>
  <c r="I68" i="531"/>
  <c r="I72" i="531"/>
  <c r="I96" i="531"/>
  <c r="J45" i="531"/>
  <c r="J46" i="531"/>
  <c r="J110" i="531"/>
  <c r="J111" i="531"/>
  <c r="J112" i="531"/>
  <c r="J113" i="531"/>
  <c r="J47" i="531"/>
  <c r="J48" i="531"/>
  <c r="J49" i="531"/>
  <c r="J50" i="531"/>
  <c r="J51" i="531"/>
  <c r="J52" i="531"/>
  <c r="J53" i="531"/>
  <c r="J54" i="531"/>
  <c r="J55" i="531"/>
  <c r="J56" i="531"/>
  <c r="J57" i="531"/>
  <c r="J58" i="531"/>
  <c r="J59" i="531"/>
  <c r="J60" i="531"/>
  <c r="J61" i="531"/>
  <c r="J62" i="531"/>
  <c r="J63" i="531"/>
  <c r="J69" i="531"/>
  <c r="J68" i="531"/>
  <c r="J72" i="531"/>
  <c r="J96" i="531"/>
  <c r="K45" i="531"/>
  <c r="K46" i="531"/>
  <c r="K110" i="531"/>
  <c r="K111" i="531"/>
  <c r="K112" i="531"/>
  <c r="K113" i="531"/>
  <c r="K47" i="531"/>
  <c r="K48" i="531"/>
  <c r="K49" i="531"/>
  <c r="K50" i="531"/>
  <c r="K51" i="531"/>
  <c r="K52" i="531"/>
  <c r="K53" i="531"/>
  <c r="K54" i="531"/>
  <c r="K55" i="531"/>
  <c r="K56" i="531"/>
  <c r="K57" i="531"/>
  <c r="K58" i="531"/>
  <c r="K59" i="531"/>
  <c r="K60" i="531"/>
  <c r="K61" i="531"/>
  <c r="K62" i="531"/>
  <c r="K63" i="531"/>
  <c r="K69" i="531"/>
  <c r="K68" i="531"/>
  <c r="K72" i="531"/>
  <c r="K96" i="531"/>
  <c r="G45" i="531"/>
  <c r="G46" i="531"/>
  <c r="G110" i="531"/>
  <c r="G111" i="531"/>
  <c r="G112" i="531"/>
  <c r="G113" i="531"/>
  <c r="G47" i="531"/>
  <c r="G48" i="531"/>
  <c r="G49" i="531"/>
  <c r="G50" i="531"/>
  <c r="G51" i="531"/>
  <c r="G52" i="531"/>
  <c r="G53" i="531"/>
  <c r="G54" i="531"/>
  <c r="G55" i="531"/>
  <c r="G56" i="531"/>
  <c r="G57" i="531"/>
  <c r="G58" i="531"/>
  <c r="G59" i="531"/>
  <c r="G60" i="531"/>
  <c r="G61" i="531"/>
  <c r="G62" i="531"/>
  <c r="G63" i="531"/>
  <c r="G68" i="531"/>
  <c r="G69" i="531"/>
  <c r="G72" i="531"/>
  <c r="G96" i="531"/>
  <c r="S96" i="531"/>
  <c r="P38" i="531"/>
  <c r="P72" i="531"/>
  <c r="P68" i="531"/>
  <c r="P97" i="531"/>
  <c r="Q45" i="531"/>
  <c r="Q46" i="531"/>
  <c r="Q9" i="531"/>
  <c r="Q4" i="531"/>
  <c r="Q6" i="531"/>
  <c r="Q110" i="531"/>
  <c r="Q111" i="531"/>
  <c r="Q112" i="531"/>
  <c r="Q113" i="531"/>
  <c r="Q47" i="531"/>
  <c r="Q10" i="531"/>
  <c r="Q48" i="531"/>
  <c r="Q11" i="531"/>
  <c r="Q49" i="531"/>
  <c r="Q12" i="531"/>
  <c r="Q50" i="531"/>
  <c r="Q13" i="531"/>
  <c r="Q51" i="531"/>
  <c r="Q14" i="531"/>
  <c r="Q52" i="531"/>
  <c r="Q15" i="531"/>
  <c r="Q53" i="531"/>
  <c r="Q16" i="531"/>
  <c r="Q54" i="531"/>
  <c r="Q17" i="531"/>
  <c r="Q55" i="531"/>
  <c r="Q18" i="531"/>
  <c r="Q56" i="531"/>
  <c r="Q57" i="531"/>
  <c r="Q58" i="531"/>
  <c r="Q59" i="531"/>
  <c r="Q20" i="531"/>
  <c r="Q60" i="531"/>
  <c r="Q61" i="531"/>
  <c r="Q62" i="531"/>
  <c r="Q24" i="531"/>
  <c r="Q63" i="531"/>
  <c r="Q69" i="531"/>
  <c r="Q72" i="531"/>
  <c r="Q68" i="531"/>
  <c r="Q97" i="531"/>
  <c r="R45" i="531"/>
  <c r="R46" i="531"/>
  <c r="R9" i="531"/>
  <c r="R4" i="531"/>
  <c r="R6" i="531"/>
  <c r="R110" i="531"/>
  <c r="R111" i="531"/>
  <c r="R112" i="531"/>
  <c r="R113" i="531"/>
  <c r="R47" i="531"/>
  <c r="R10" i="531"/>
  <c r="R48" i="531"/>
  <c r="R11" i="531"/>
  <c r="R49" i="531"/>
  <c r="R12" i="531"/>
  <c r="R50" i="531"/>
  <c r="R13" i="531"/>
  <c r="R51" i="531"/>
  <c r="R14" i="531"/>
  <c r="R52" i="531"/>
  <c r="R15" i="531"/>
  <c r="R53" i="531"/>
  <c r="R16" i="531"/>
  <c r="R54" i="531"/>
  <c r="R17" i="531"/>
  <c r="R55" i="531"/>
  <c r="R18" i="531"/>
  <c r="R56" i="531"/>
  <c r="R57" i="531"/>
  <c r="R58" i="531"/>
  <c r="R59" i="531"/>
  <c r="R20" i="531"/>
  <c r="R60" i="531"/>
  <c r="R61" i="531"/>
  <c r="R62" i="531"/>
  <c r="R24" i="531"/>
  <c r="R63" i="531"/>
  <c r="R69" i="531"/>
  <c r="R38" i="531"/>
  <c r="R72" i="531"/>
  <c r="R68" i="531"/>
  <c r="R97" i="531"/>
  <c r="M45" i="532"/>
  <c r="M46" i="532"/>
  <c r="H9" i="532"/>
  <c r="I9" i="532"/>
  <c r="J9" i="532"/>
  <c r="K9" i="532"/>
  <c r="L9" i="532"/>
  <c r="M9" i="532"/>
  <c r="H4" i="532"/>
  <c r="I4" i="532"/>
  <c r="J4" i="532"/>
  <c r="K4" i="532"/>
  <c r="L4" i="532"/>
  <c r="M4" i="532"/>
  <c r="M110" i="532"/>
  <c r="M111" i="532"/>
  <c r="M112" i="532"/>
  <c r="M113" i="532"/>
  <c r="M47" i="532"/>
  <c r="H10" i="532"/>
  <c r="I10" i="532"/>
  <c r="J10" i="532"/>
  <c r="K10" i="532"/>
  <c r="L10" i="532"/>
  <c r="M10" i="532"/>
  <c r="M48" i="532"/>
  <c r="H11" i="532"/>
  <c r="I11" i="532"/>
  <c r="J11" i="532"/>
  <c r="K11" i="532"/>
  <c r="L11" i="532"/>
  <c r="M11" i="532"/>
  <c r="D49" i="532"/>
  <c r="M49" i="532"/>
  <c r="H12" i="532"/>
  <c r="I12" i="532"/>
  <c r="J12" i="532"/>
  <c r="K12" i="532"/>
  <c r="L12" i="532"/>
  <c r="M12" i="532"/>
  <c r="D50" i="532"/>
  <c r="M50" i="532"/>
  <c r="H13" i="532"/>
  <c r="I13" i="532"/>
  <c r="J13" i="532"/>
  <c r="K13" i="532"/>
  <c r="L13" i="532"/>
  <c r="M13" i="532"/>
  <c r="D51" i="532"/>
  <c r="M51" i="532"/>
  <c r="H14" i="532"/>
  <c r="I14" i="532"/>
  <c r="J14" i="532"/>
  <c r="K14" i="532"/>
  <c r="L14" i="532"/>
  <c r="M14" i="532"/>
  <c r="D52" i="532"/>
  <c r="M52" i="532"/>
  <c r="H15" i="532"/>
  <c r="I15" i="532"/>
  <c r="J15" i="532"/>
  <c r="K15" i="532"/>
  <c r="L15" i="532"/>
  <c r="M15" i="532"/>
  <c r="D53" i="532"/>
  <c r="M53" i="532"/>
  <c r="H16" i="532"/>
  <c r="I16" i="532"/>
  <c r="J16" i="532"/>
  <c r="K16" i="532"/>
  <c r="L16" i="532"/>
  <c r="M16" i="532"/>
  <c r="D54" i="532"/>
  <c r="M54" i="532"/>
  <c r="H17" i="532"/>
  <c r="I17" i="532"/>
  <c r="J17" i="532"/>
  <c r="K17" i="532"/>
  <c r="L17" i="532"/>
  <c r="M17" i="532"/>
  <c r="M55" i="532"/>
  <c r="H18" i="532"/>
  <c r="I18" i="532"/>
  <c r="J18" i="532"/>
  <c r="K18" i="532"/>
  <c r="L18" i="532"/>
  <c r="M18" i="532"/>
  <c r="M56" i="532"/>
  <c r="M57" i="532"/>
  <c r="M58" i="532"/>
  <c r="M59" i="532"/>
  <c r="H20" i="532"/>
  <c r="I20" i="532"/>
  <c r="J20" i="532"/>
  <c r="K20" i="532"/>
  <c r="L20" i="532"/>
  <c r="M20" i="532"/>
  <c r="D60" i="532"/>
  <c r="E60" i="532"/>
  <c r="M60" i="532"/>
  <c r="M61" i="532"/>
  <c r="M62" i="532"/>
  <c r="H23" i="532"/>
  <c r="I23" i="532"/>
  <c r="J23" i="532"/>
  <c r="K23" i="532"/>
  <c r="L23" i="532"/>
  <c r="M23" i="532"/>
  <c r="M63" i="532"/>
  <c r="M69" i="532"/>
  <c r="M68" i="532"/>
  <c r="M72" i="532"/>
  <c r="M97" i="532"/>
  <c r="N45" i="532"/>
  <c r="N46" i="532"/>
  <c r="N9" i="532"/>
  <c r="N4" i="532"/>
  <c r="N110" i="532"/>
  <c r="N111" i="532"/>
  <c r="N112" i="532"/>
  <c r="N113" i="532"/>
  <c r="N47" i="532"/>
  <c r="N10" i="532"/>
  <c r="N48" i="532"/>
  <c r="N11" i="532"/>
  <c r="N49" i="532"/>
  <c r="N12" i="532"/>
  <c r="N50" i="532"/>
  <c r="N13" i="532"/>
  <c r="N51" i="532"/>
  <c r="N14" i="532"/>
  <c r="N52" i="532"/>
  <c r="N15" i="532"/>
  <c r="N53" i="532"/>
  <c r="N16" i="532"/>
  <c r="N54" i="532"/>
  <c r="N17" i="532"/>
  <c r="N55" i="532"/>
  <c r="N18" i="532"/>
  <c r="N56" i="532"/>
  <c r="N57" i="532"/>
  <c r="N58" i="532"/>
  <c r="N59" i="532"/>
  <c r="N20" i="532"/>
  <c r="N60" i="532"/>
  <c r="N61" i="532"/>
  <c r="N62" i="532"/>
  <c r="N23" i="532"/>
  <c r="N63" i="532"/>
  <c r="N69" i="532"/>
  <c r="N68" i="532"/>
  <c r="N72" i="532"/>
  <c r="N97" i="532"/>
  <c r="O45" i="532"/>
  <c r="O46" i="532"/>
  <c r="O9" i="532"/>
  <c r="O4" i="532"/>
  <c r="O110" i="532"/>
  <c r="O111" i="532"/>
  <c r="O112" i="532"/>
  <c r="O113" i="532"/>
  <c r="O47" i="532"/>
  <c r="O10" i="532"/>
  <c r="O48" i="532"/>
  <c r="O11" i="532"/>
  <c r="O49" i="532"/>
  <c r="O12" i="532"/>
  <c r="O50" i="532"/>
  <c r="O13" i="532"/>
  <c r="O51" i="532"/>
  <c r="O14" i="532"/>
  <c r="O52" i="532"/>
  <c r="O15" i="532"/>
  <c r="O53" i="532"/>
  <c r="O16" i="532"/>
  <c r="O54" i="532"/>
  <c r="O17" i="532"/>
  <c r="O55" i="532"/>
  <c r="O18" i="532"/>
  <c r="O56" i="532"/>
  <c r="O57" i="532"/>
  <c r="O58" i="532"/>
  <c r="O59" i="532"/>
  <c r="O20" i="532"/>
  <c r="O60" i="532"/>
  <c r="O61" i="532"/>
  <c r="O62" i="532"/>
  <c r="O23" i="532"/>
  <c r="O63" i="532"/>
  <c r="O69" i="532"/>
  <c r="O68" i="532"/>
  <c r="O72" i="532"/>
  <c r="O97" i="532"/>
  <c r="P45" i="532"/>
  <c r="P46" i="532"/>
  <c r="P9" i="532"/>
  <c r="P4" i="532"/>
  <c r="P6" i="532"/>
  <c r="P110" i="532"/>
  <c r="P111" i="532"/>
  <c r="P112" i="532"/>
  <c r="P113" i="532"/>
  <c r="P47" i="532"/>
  <c r="P10" i="532"/>
  <c r="P48" i="532"/>
  <c r="P11" i="532"/>
  <c r="P49" i="532"/>
  <c r="P12" i="532"/>
  <c r="P50" i="532"/>
  <c r="P13" i="532"/>
  <c r="P51" i="532"/>
  <c r="P14" i="532"/>
  <c r="P52" i="532"/>
  <c r="P15" i="532"/>
  <c r="P53" i="532"/>
  <c r="P16" i="532"/>
  <c r="P54" i="532"/>
  <c r="P17" i="532"/>
  <c r="P55" i="532"/>
  <c r="P18" i="532"/>
  <c r="P56" i="532"/>
  <c r="P57" i="532"/>
  <c r="P58" i="532"/>
  <c r="P59" i="532"/>
  <c r="P20" i="532"/>
  <c r="P60" i="532"/>
  <c r="P61" i="532"/>
  <c r="P62" i="532"/>
  <c r="P63" i="532"/>
  <c r="P69" i="532"/>
  <c r="H45" i="532"/>
  <c r="H46" i="532"/>
  <c r="H110" i="532"/>
  <c r="H111" i="532"/>
  <c r="H112" i="532"/>
  <c r="H113" i="532"/>
  <c r="H47" i="532"/>
  <c r="H49" i="532"/>
  <c r="H50" i="532"/>
  <c r="H51" i="532"/>
  <c r="H52" i="532"/>
  <c r="H53" i="532"/>
  <c r="H54" i="532"/>
  <c r="H55" i="532"/>
  <c r="H56" i="532"/>
  <c r="H57" i="532"/>
  <c r="H58" i="532"/>
  <c r="H59" i="532"/>
  <c r="H60" i="532"/>
  <c r="H61" i="532"/>
  <c r="H48" i="532"/>
  <c r="H62" i="532"/>
  <c r="H63" i="532"/>
  <c r="H69" i="532"/>
  <c r="H68" i="532"/>
  <c r="H72" i="532"/>
  <c r="H96" i="532"/>
  <c r="I45" i="532"/>
  <c r="I46" i="532"/>
  <c r="I110" i="532"/>
  <c r="I111" i="532"/>
  <c r="I112" i="532"/>
  <c r="I113" i="532"/>
  <c r="I47" i="532"/>
  <c r="I48" i="532"/>
  <c r="I49" i="532"/>
  <c r="I50" i="532"/>
  <c r="I51" i="532"/>
  <c r="I52" i="532"/>
  <c r="I53" i="532"/>
  <c r="I54" i="532"/>
  <c r="I55" i="532"/>
  <c r="I56" i="532"/>
  <c r="I57" i="532"/>
  <c r="I58" i="532"/>
  <c r="I59" i="532"/>
  <c r="I60" i="532"/>
  <c r="I61" i="532"/>
  <c r="I62" i="532"/>
  <c r="I63" i="532"/>
  <c r="I69" i="532"/>
  <c r="I68" i="532"/>
  <c r="I72" i="532"/>
  <c r="I96" i="532"/>
  <c r="J45" i="532"/>
  <c r="J46" i="532"/>
  <c r="J110" i="532"/>
  <c r="J111" i="532"/>
  <c r="J112" i="532"/>
  <c r="J113" i="532"/>
  <c r="J47" i="532"/>
  <c r="J48" i="532"/>
  <c r="J49" i="532"/>
  <c r="J50" i="532"/>
  <c r="J51" i="532"/>
  <c r="J52" i="532"/>
  <c r="J53" i="532"/>
  <c r="J54" i="532"/>
  <c r="J55" i="532"/>
  <c r="J56" i="532"/>
  <c r="J57" i="532"/>
  <c r="J58" i="532"/>
  <c r="J59" i="532"/>
  <c r="J60" i="532"/>
  <c r="J61" i="532"/>
  <c r="J62" i="532"/>
  <c r="J63" i="532"/>
  <c r="J69" i="532"/>
  <c r="J68" i="532"/>
  <c r="J72" i="532"/>
  <c r="J96" i="532"/>
  <c r="K45" i="532"/>
  <c r="K46" i="532"/>
  <c r="K110" i="532"/>
  <c r="K111" i="532"/>
  <c r="K112" i="532"/>
  <c r="K113" i="532"/>
  <c r="K47" i="532"/>
  <c r="K48" i="532"/>
  <c r="K49" i="532"/>
  <c r="K50" i="532"/>
  <c r="K51" i="532"/>
  <c r="K52" i="532"/>
  <c r="K53" i="532"/>
  <c r="K54" i="532"/>
  <c r="K55" i="532"/>
  <c r="K56" i="532"/>
  <c r="K57" i="532"/>
  <c r="K58" i="532"/>
  <c r="K59" i="532"/>
  <c r="K60" i="532"/>
  <c r="K61" i="532"/>
  <c r="K62" i="532"/>
  <c r="K63" i="532"/>
  <c r="K69" i="532"/>
  <c r="K68" i="532"/>
  <c r="K72" i="532"/>
  <c r="K96" i="532"/>
  <c r="G45" i="532"/>
  <c r="G46" i="532"/>
  <c r="G110" i="532"/>
  <c r="G111" i="532"/>
  <c r="G112" i="532"/>
  <c r="G113" i="532"/>
  <c r="G47" i="532"/>
  <c r="G48" i="532"/>
  <c r="G49" i="532"/>
  <c r="G50" i="532"/>
  <c r="G51" i="532"/>
  <c r="G52" i="532"/>
  <c r="G53" i="532"/>
  <c r="G54" i="532"/>
  <c r="G55" i="532"/>
  <c r="G56" i="532"/>
  <c r="G57" i="532"/>
  <c r="G58" i="532"/>
  <c r="G59" i="532"/>
  <c r="G60" i="532"/>
  <c r="G61" i="532"/>
  <c r="G62" i="532"/>
  <c r="G63" i="532"/>
  <c r="G68" i="532"/>
  <c r="G69" i="532"/>
  <c r="G72" i="532"/>
  <c r="G96" i="532"/>
  <c r="S96" i="532"/>
  <c r="P38" i="532"/>
  <c r="P72" i="532"/>
  <c r="P68" i="532"/>
  <c r="P97" i="532"/>
  <c r="Q45" i="532"/>
  <c r="Q46" i="532"/>
  <c r="Q9" i="532"/>
  <c r="Q4" i="532"/>
  <c r="Q6" i="532"/>
  <c r="Q110" i="532"/>
  <c r="Q111" i="532"/>
  <c r="Q112" i="532"/>
  <c r="Q113" i="532"/>
  <c r="Q47" i="532"/>
  <c r="Q10" i="532"/>
  <c r="Q48" i="532"/>
  <c r="Q11" i="532"/>
  <c r="Q49" i="532"/>
  <c r="Q12" i="532"/>
  <c r="Q50" i="532"/>
  <c r="Q13" i="532"/>
  <c r="Q51" i="532"/>
  <c r="Q14" i="532"/>
  <c r="Q52" i="532"/>
  <c r="Q15" i="532"/>
  <c r="Q53" i="532"/>
  <c r="Q16" i="532"/>
  <c r="Q54" i="532"/>
  <c r="Q17" i="532"/>
  <c r="Q55" i="532"/>
  <c r="Q18" i="532"/>
  <c r="Q56" i="532"/>
  <c r="Q57" i="532"/>
  <c r="Q58" i="532"/>
  <c r="Q59" i="532"/>
  <c r="Q20" i="532"/>
  <c r="Q60" i="532"/>
  <c r="Q61" i="532"/>
  <c r="Q62" i="532"/>
  <c r="Q24" i="532"/>
  <c r="Q63" i="532"/>
  <c r="Q69" i="532"/>
  <c r="Q72" i="532"/>
  <c r="Q68" i="532"/>
  <c r="Q97" i="532"/>
  <c r="R45" i="532"/>
  <c r="R46" i="532"/>
  <c r="R9" i="532"/>
  <c r="R4" i="532"/>
  <c r="R6" i="532"/>
  <c r="R110" i="532"/>
  <c r="R111" i="532"/>
  <c r="R112" i="532"/>
  <c r="R113" i="532"/>
  <c r="R47" i="532"/>
  <c r="R10" i="532"/>
  <c r="R48" i="532"/>
  <c r="R11" i="532"/>
  <c r="R49" i="532"/>
  <c r="R12" i="532"/>
  <c r="R50" i="532"/>
  <c r="R13" i="532"/>
  <c r="R51" i="532"/>
  <c r="R14" i="532"/>
  <c r="R52" i="532"/>
  <c r="R15" i="532"/>
  <c r="R53" i="532"/>
  <c r="R16" i="532"/>
  <c r="R54" i="532"/>
  <c r="R17" i="532"/>
  <c r="R55" i="532"/>
  <c r="R18" i="532"/>
  <c r="R56" i="532"/>
  <c r="R57" i="532"/>
  <c r="R58" i="532"/>
  <c r="R59" i="532"/>
  <c r="R20" i="532"/>
  <c r="R60" i="532"/>
  <c r="R61" i="532"/>
  <c r="R62" i="532"/>
  <c r="R24" i="532"/>
  <c r="R63" i="532"/>
  <c r="R69" i="532"/>
  <c r="R38" i="532"/>
  <c r="R72" i="532"/>
  <c r="R68" i="532"/>
  <c r="R97" i="532"/>
  <c r="M45" i="533"/>
  <c r="M46" i="533"/>
  <c r="H9" i="533"/>
  <c r="I9" i="533"/>
  <c r="J9" i="533"/>
  <c r="K9" i="533"/>
  <c r="L9" i="533"/>
  <c r="M9" i="533"/>
  <c r="H4" i="533"/>
  <c r="I4" i="533"/>
  <c r="J4" i="533"/>
  <c r="K4" i="533"/>
  <c r="L4" i="533"/>
  <c r="M4" i="533"/>
  <c r="M110" i="533"/>
  <c r="M111" i="533"/>
  <c r="M112" i="533"/>
  <c r="M113" i="533"/>
  <c r="M47" i="533"/>
  <c r="H10" i="533"/>
  <c r="I10" i="533"/>
  <c r="J10" i="533"/>
  <c r="K10" i="533"/>
  <c r="L10" i="533"/>
  <c r="M10" i="533"/>
  <c r="M48" i="533"/>
  <c r="H11" i="533"/>
  <c r="I11" i="533"/>
  <c r="J11" i="533"/>
  <c r="K11" i="533"/>
  <c r="L11" i="533"/>
  <c r="M11" i="533"/>
  <c r="D49" i="533"/>
  <c r="M49" i="533"/>
  <c r="H12" i="533"/>
  <c r="I12" i="533"/>
  <c r="J12" i="533"/>
  <c r="K12" i="533"/>
  <c r="L12" i="533"/>
  <c r="M12" i="533"/>
  <c r="D50" i="533"/>
  <c r="M50" i="533"/>
  <c r="H13" i="533"/>
  <c r="I13" i="533"/>
  <c r="J13" i="533"/>
  <c r="K13" i="533"/>
  <c r="L13" i="533"/>
  <c r="M13" i="533"/>
  <c r="D51" i="533"/>
  <c r="M51" i="533"/>
  <c r="H14" i="533"/>
  <c r="I14" i="533"/>
  <c r="J14" i="533"/>
  <c r="K14" i="533"/>
  <c r="L14" i="533"/>
  <c r="M14" i="533"/>
  <c r="D52" i="533"/>
  <c r="M52" i="533"/>
  <c r="H15" i="533"/>
  <c r="I15" i="533"/>
  <c r="J15" i="533"/>
  <c r="K15" i="533"/>
  <c r="L15" i="533"/>
  <c r="M15" i="533"/>
  <c r="D53" i="533"/>
  <c r="M53" i="533"/>
  <c r="H16" i="533"/>
  <c r="I16" i="533"/>
  <c r="J16" i="533"/>
  <c r="K16" i="533"/>
  <c r="L16" i="533"/>
  <c r="M16" i="533"/>
  <c r="D54" i="533"/>
  <c r="M54" i="533"/>
  <c r="H17" i="533"/>
  <c r="I17" i="533"/>
  <c r="J17" i="533"/>
  <c r="K17" i="533"/>
  <c r="L17" i="533"/>
  <c r="M17" i="533"/>
  <c r="M55" i="533"/>
  <c r="H18" i="533"/>
  <c r="I18" i="533"/>
  <c r="J18" i="533"/>
  <c r="K18" i="533"/>
  <c r="L18" i="533"/>
  <c r="M18" i="533"/>
  <c r="M56" i="533"/>
  <c r="M57" i="533"/>
  <c r="M58" i="533"/>
  <c r="M59" i="533"/>
  <c r="H20" i="533"/>
  <c r="I20" i="533"/>
  <c r="J20" i="533"/>
  <c r="K20" i="533"/>
  <c r="L20" i="533"/>
  <c r="M20" i="533"/>
  <c r="D60" i="533"/>
  <c r="E60" i="533"/>
  <c r="M60" i="533"/>
  <c r="M61" i="533"/>
  <c r="M62" i="533"/>
  <c r="H23" i="533"/>
  <c r="I23" i="533"/>
  <c r="J23" i="533"/>
  <c r="K23" i="533"/>
  <c r="L23" i="533"/>
  <c r="M23" i="533"/>
  <c r="M63" i="533"/>
  <c r="M69" i="533"/>
  <c r="M68" i="533"/>
  <c r="M72" i="533"/>
  <c r="M97" i="533"/>
  <c r="N45" i="533"/>
  <c r="N46" i="533"/>
  <c r="N9" i="533"/>
  <c r="N4" i="533"/>
  <c r="N110" i="533"/>
  <c r="N111" i="533"/>
  <c r="N112" i="533"/>
  <c r="N113" i="533"/>
  <c r="N47" i="533"/>
  <c r="N10" i="533"/>
  <c r="N48" i="533"/>
  <c r="N11" i="533"/>
  <c r="N49" i="533"/>
  <c r="N12" i="533"/>
  <c r="N50" i="533"/>
  <c r="N13" i="533"/>
  <c r="N51" i="533"/>
  <c r="N14" i="533"/>
  <c r="N52" i="533"/>
  <c r="N15" i="533"/>
  <c r="N53" i="533"/>
  <c r="N16" i="533"/>
  <c r="N54" i="533"/>
  <c r="N17" i="533"/>
  <c r="N55" i="533"/>
  <c r="N18" i="533"/>
  <c r="N56" i="533"/>
  <c r="N57" i="533"/>
  <c r="N58" i="533"/>
  <c r="N59" i="533"/>
  <c r="N20" i="533"/>
  <c r="N60" i="533"/>
  <c r="N61" i="533"/>
  <c r="N62" i="533"/>
  <c r="N23" i="533"/>
  <c r="N63" i="533"/>
  <c r="N69" i="533"/>
  <c r="N68" i="533"/>
  <c r="N72" i="533"/>
  <c r="N97" i="533"/>
  <c r="O45" i="533"/>
  <c r="O46" i="533"/>
  <c r="O9" i="533"/>
  <c r="O4" i="533"/>
  <c r="O110" i="533"/>
  <c r="O111" i="533"/>
  <c r="O112" i="533"/>
  <c r="O113" i="533"/>
  <c r="O47" i="533"/>
  <c r="O10" i="533"/>
  <c r="O48" i="533"/>
  <c r="O11" i="533"/>
  <c r="O49" i="533"/>
  <c r="O12" i="533"/>
  <c r="O50" i="533"/>
  <c r="O13" i="533"/>
  <c r="O51" i="533"/>
  <c r="O14" i="533"/>
  <c r="O52" i="533"/>
  <c r="O15" i="533"/>
  <c r="O53" i="533"/>
  <c r="O16" i="533"/>
  <c r="O54" i="533"/>
  <c r="O17" i="533"/>
  <c r="O55" i="533"/>
  <c r="O18" i="533"/>
  <c r="O56" i="533"/>
  <c r="O57" i="533"/>
  <c r="O58" i="533"/>
  <c r="O59" i="533"/>
  <c r="O20" i="533"/>
  <c r="O60" i="533"/>
  <c r="O61" i="533"/>
  <c r="O62" i="533"/>
  <c r="O23" i="533"/>
  <c r="O63" i="533"/>
  <c r="O69" i="533"/>
  <c r="O68" i="533"/>
  <c r="O72" i="533"/>
  <c r="O97" i="533"/>
  <c r="P45" i="533"/>
  <c r="P46" i="533"/>
  <c r="P9" i="533"/>
  <c r="P4" i="533"/>
  <c r="P6" i="533"/>
  <c r="P110" i="533"/>
  <c r="P111" i="533"/>
  <c r="P112" i="533"/>
  <c r="P113" i="533"/>
  <c r="P47" i="533"/>
  <c r="P10" i="533"/>
  <c r="P48" i="533"/>
  <c r="P11" i="533"/>
  <c r="P49" i="533"/>
  <c r="P12" i="533"/>
  <c r="P50" i="533"/>
  <c r="P13" i="533"/>
  <c r="P51" i="533"/>
  <c r="P14" i="533"/>
  <c r="P52" i="533"/>
  <c r="P15" i="533"/>
  <c r="P53" i="533"/>
  <c r="P16" i="533"/>
  <c r="P54" i="533"/>
  <c r="P17" i="533"/>
  <c r="P55" i="533"/>
  <c r="P18" i="533"/>
  <c r="P56" i="533"/>
  <c r="P57" i="533"/>
  <c r="P58" i="533"/>
  <c r="P59" i="533"/>
  <c r="P20" i="533"/>
  <c r="P60" i="533"/>
  <c r="P61" i="533"/>
  <c r="P62" i="533"/>
  <c r="P63" i="533"/>
  <c r="P69" i="533"/>
  <c r="H45" i="533"/>
  <c r="H46" i="533"/>
  <c r="H110" i="533"/>
  <c r="H111" i="533"/>
  <c r="H112" i="533"/>
  <c r="H113" i="533"/>
  <c r="H47" i="533"/>
  <c r="H49" i="533"/>
  <c r="H50" i="533"/>
  <c r="H51" i="533"/>
  <c r="H52" i="533"/>
  <c r="H53" i="533"/>
  <c r="H54" i="533"/>
  <c r="H55" i="533"/>
  <c r="H56" i="533"/>
  <c r="H57" i="533"/>
  <c r="H58" i="533"/>
  <c r="H59" i="533"/>
  <c r="H60" i="533"/>
  <c r="H61" i="533"/>
  <c r="H48" i="533"/>
  <c r="H62" i="533"/>
  <c r="H63" i="533"/>
  <c r="H69" i="533"/>
  <c r="H68" i="533"/>
  <c r="H72" i="533"/>
  <c r="H96" i="533"/>
  <c r="I45" i="533"/>
  <c r="I46" i="533"/>
  <c r="I110" i="533"/>
  <c r="I111" i="533"/>
  <c r="I112" i="533"/>
  <c r="I113" i="533"/>
  <c r="I47" i="533"/>
  <c r="I48" i="533"/>
  <c r="I49" i="533"/>
  <c r="I50" i="533"/>
  <c r="I51" i="533"/>
  <c r="I52" i="533"/>
  <c r="I53" i="533"/>
  <c r="I54" i="533"/>
  <c r="I55" i="533"/>
  <c r="I56" i="533"/>
  <c r="I57" i="533"/>
  <c r="I58" i="533"/>
  <c r="I59" i="533"/>
  <c r="I60" i="533"/>
  <c r="I61" i="533"/>
  <c r="I62" i="533"/>
  <c r="I63" i="533"/>
  <c r="I69" i="533"/>
  <c r="I68" i="533"/>
  <c r="I72" i="533"/>
  <c r="I96" i="533"/>
  <c r="J45" i="533"/>
  <c r="J46" i="533"/>
  <c r="J110" i="533"/>
  <c r="J111" i="533"/>
  <c r="J112" i="533"/>
  <c r="J113" i="533"/>
  <c r="J47" i="533"/>
  <c r="J48" i="533"/>
  <c r="J49" i="533"/>
  <c r="J50" i="533"/>
  <c r="J51" i="533"/>
  <c r="J52" i="533"/>
  <c r="J53" i="533"/>
  <c r="J54" i="533"/>
  <c r="J55" i="533"/>
  <c r="J56" i="533"/>
  <c r="J57" i="533"/>
  <c r="J58" i="533"/>
  <c r="J59" i="533"/>
  <c r="J60" i="533"/>
  <c r="J61" i="533"/>
  <c r="J62" i="533"/>
  <c r="J63" i="533"/>
  <c r="J69" i="533"/>
  <c r="J68" i="533"/>
  <c r="J72" i="533"/>
  <c r="J96" i="533"/>
  <c r="K45" i="533"/>
  <c r="K46" i="533"/>
  <c r="K110" i="533"/>
  <c r="K111" i="533"/>
  <c r="K112" i="533"/>
  <c r="K113" i="533"/>
  <c r="K47" i="533"/>
  <c r="K48" i="533"/>
  <c r="K49" i="533"/>
  <c r="K50" i="533"/>
  <c r="K51" i="533"/>
  <c r="K52" i="533"/>
  <c r="K53" i="533"/>
  <c r="K54" i="533"/>
  <c r="K55" i="533"/>
  <c r="K56" i="533"/>
  <c r="K57" i="533"/>
  <c r="K58" i="533"/>
  <c r="K59" i="533"/>
  <c r="K60" i="533"/>
  <c r="K61" i="533"/>
  <c r="K62" i="533"/>
  <c r="K63" i="533"/>
  <c r="K69" i="533"/>
  <c r="K68" i="533"/>
  <c r="K72" i="533"/>
  <c r="K96" i="533"/>
  <c r="G45" i="533"/>
  <c r="G46" i="533"/>
  <c r="G110" i="533"/>
  <c r="G111" i="533"/>
  <c r="G112" i="533"/>
  <c r="G113" i="533"/>
  <c r="G47" i="533"/>
  <c r="G48" i="533"/>
  <c r="G49" i="533"/>
  <c r="G50" i="533"/>
  <c r="G51" i="533"/>
  <c r="G52" i="533"/>
  <c r="G53" i="533"/>
  <c r="G54" i="533"/>
  <c r="G55" i="533"/>
  <c r="G56" i="533"/>
  <c r="G57" i="533"/>
  <c r="G58" i="533"/>
  <c r="G59" i="533"/>
  <c r="G60" i="533"/>
  <c r="G61" i="533"/>
  <c r="G62" i="533"/>
  <c r="G63" i="533"/>
  <c r="G68" i="533"/>
  <c r="G69" i="533"/>
  <c r="G72" i="533"/>
  <c r="G96" i="533"/>
  <c r="S96" i="533"/>
  <c r="P38" i="533"/>
  <c r="P72" i="533"/>
  <c r="P68" i="533"/>
  <c r="P97" i="533"/>
  <c r="Q45" i="533"/>
  <c r="Q46" i="533"/>
  <c r="Q9" i="533"/>
  <c r="Q4" i="533"/>
  <c r="Q6" i="533"/>
  <c r="Q110" i="533"/>
  <c r="Q111" i="533"/>
  <c r="Q112" i="533"/>
  <c r="Q113" i="533"/>
  <c r="Q47" i="533"/>
  <c r="Q10" i="533"/>
  <c r="Q48" i="533"/>
  <c r="Q11" i="533"/>
  <c r="Q49" i="533"/>
  <c r="Q12" i="533"/>
  <c r="Q50" i="533"/>
  <c r="Q13" i="533"/>
  <c r="Q51" i="533"/>
  <c r="Q14" i="533"/>
  <c r="Q52" i="533"/>
  <c r="Q15" i="533"/>
  <c r="Q53" i="533"/>
  <c r="Q16" i="533"/>
  <c r="Q54" i="533"/>
  <c r="Q17" i="533"/>
  <c r="Q55" i="533"/>
  <c r="Q18" i="533"/>
  <c r="Q56" i="533"/>
  <c r="Q57" i="533"/>
  <c r="Q58" i="533"/>
  <c r="Q59" i="533"/>
  <c r="Q20" i="533"/>
  <c r="Q60" i="533"/>
  <c r="Q61" i="533"/>
  <c r="Q62" i="533"/>
  <c r="Q24" i="533"/>
  <c r="Q63" i="533"/>
  <c r="Q69" i="533"/>
  <c r="Q72" i="533"/>
  <c r="Q68" i="533"/>
  <c r="Q97" i="533"/>
  <c r="R45" i="533"/>
  <c r="R46" i="533"/>
  <c r="R9" i="533"/>
  <c r="R4" i="533"/>
  <c r="R6" i="533"/>
  <c r="R110" i="533"/>
  <c r="R111" i="533"/>
  <c r="R112" i="533"/>
  <c r="R113" i="533"/>
  <c r="R47" i="533"/>
  <c r="R10" i="533"/>
  <c r="R48" i="533"/>
  <c r="R11" i="533"/>
  <c r="R49" i="533"/>
  <c r="R12" i="533"/>
  <c r="R50" i="533"/>
  <c r="R13" i="533"/>
  <c r="R51" i="533"/>
  <c r="R14" i="533"/>
  <c r="R52" i="533"/>
  <c r="R15" i="533"/>
  <c r="R53" i="533"/>
  <c r="R16" i="533"/>
  <c r="R54" i="533"/>
  <c r="R17" i="533"/>
  <c r="R55" i="533"/>
  <c r="R18" i="533"/>
  <c r="R56" i="533"/>
  <c r="R57" i="533"/>
  <c r="R58" i="533"/>
  <c r="R59" i="533"/>
  <c r="R20" i="533"/>
  <c r="R60" i="533"/>
  <c r="R61" i="533"/>
  <c r="R62" i="533"/>
  <c r="R24" i="533"/>
  <c r="R63" i="533"/>
  <c r="R69" i="533"/>
  <c r="R38" i="533"/>
  <c r="R72" i="533"/>
  <c r="R68" i="533"/>
  <c r="R97" i="533"/>
  <c r="M45" i="534"/>
  <c r="M46" i="534"/>
  <c r="H9" i="534"/>
  <c r="I9" i="534"/>
  <c r="J9" i="534"/>
  <c r="K9" i="534"/>
  <c r="L9" i="534"/>
  <c r="M9" i="534"/>
  <c r="H4" i="534"/>
  <c r="I4" i="534"/>
  <c r="J4" i="534"/>
  <c r="K4" i="534"/>
  <c r="L4" i="534"/>
  <c r="M4" i="534"/>
  <c r="M110" i="534"/>
  <c r="M111" i="534"/>
  <c r="M112" i="534"/>
  <c r="M113" i="534"/>
  <c r="M47" i="534"/>
  <c r="H10" i="534"/>
  <c r="I10" i="534"/>
  <c r="J10" i="534"/>
  <c r="K10" i="534"/>
  <c r="L10" i="534"/>
  <c r="M10" i="534"/>
  <c r="M48" i="534"/>
  <c r="H11" i="534"/>
  <c r="I11" i="534"/>
  <c r="J11" i="534"/>
  <c r="K11" i="534"/>
  <c r="L11" i="534"/>
  <c r="M11" i="534"/>
  <c r="D49" i="534"/>
  <c r="M49" i="534"/>
  <c r="H12" i="534"/>
  <c r="I12" i="534"/>
  <c r="J12" i="534"/>
  <c r="K12" i="534"/>
  <c r="L12" i="534"/>
  <c r="M12" i="534"/>
  <c r="D50" i="534"/>
  <c r="M50" i="534"/>
  <c r="H13" i="534"/>
  <c r="I13" i="534"/>
  <c r="J13" i="534"/>
  <c r="K13" i="534"/>
  <c r="L13" i="534"/>
  <c r="M13" i="534"/>
  <c r="D51" i="534"/>
  <c r="M51" i="534"/>
  <c r="H14" i="534"/>
  <c r="I14" i="534"/>
  <c r="J14" i="534"/>
  <c r="K14" i="534"/>
  <c r="L14" i="534"/>
  <c r="M14" i="534"/>
  <c r="D52" i="534"/>
  <c r="M52" i="534"/>
  <c r="H15" i="534"/>
  <c r="I15" i="534"/>
  <c r="J15" i="534"/>
  <c r="K15" i="534"/>
  <c r="L15" i="534"/>
  <c r="M15" i="534"/>
  <c r="D53" i="534"/>
  <c r="M53" i="534"/>
  <c r="H16" i="534"/>
  <c r="I16" i="534"/>
  <c r="J16" i="534"/>
  <c r="K16" i="534"/>
  <c r="L16" i="534"/>
  <c r="M16" i="534"/>
  <c r="D54" i="534"/>
  <c r="M54" i="534"/>
  <c r="H17" i="534"/>
  <c r="I17" i="534"/>
  <c r="J17" i="534"/>
  <c r="K17" i="534"/>
  <c r="L17" i="534"/>
  <c r="M17" i="534"/>
  <c r="M55" i="534"/>
  <c r="H18" i="534"/>
  <c r="I18" i="534"/>
  <c r="J18" i="534"/>
  <c r="K18" i="534"/>
  <c r="L18" i="534"/>
  <c r="M18" i="534"/>
  <c r="M56" i="534"/>
  <c r="M57" i="534"/>
  <c r="M58" i="534"/>
  <c r="M59" i="534"/>
  <c r="H20" i="534"/>
  <c r="I20" i="534"/>
  <c r="J20" i="534"/>
  <c r="K20" i="534"/>
  <c r="L20" i="534"/>
  <c r="M20" i="534"/>
  <c r="D60" i="534"/>
  <c r="E60" i="534"/>
  <c r="M60" i="534"/>
  <c r="M61" i="534"/>
  <c r="M62" i="534"/>
  <c r="H23" i="534"/>
  <c r="I23" i="534"/>
  <c r="J23" i="534"/>
  <c r="K23" i="534"/>
  <c r="L23" i="534"/>
  <c r="M23" i="534"/>
  <c r="M63" i="534"/>
  <c r="M69" i="534"/>
  <c r="M68" i="534"/>
  <c r="M72" i="534"/>
  <c r="M97" i="534"/>
  <c r="N45" i="534"/>
  <c r="N46" i="534"/>
  <c r="N9" i="534"/>
  <c r="N4" i="534"/>
  <c r="N110" i="534"/>
  <c r="N111" i="534"/>
  <c r="N112" i="534"/>
  <c r="N113" i="534"/>
  <c r="N47" i="534"/>
  <c r="N10" i="534"/>
  <c r="N48" i="534"/>
  <c r="N11" i="534"/>
  <c r="N49" i="534"/>
  <c r="N12" i="534"/>
  <c r="N50" i="534"/>
  <c r="N13" i="534"/>
  <c r="N51" i="534"/>
  <c r="N14" i="534"/>
  <c r="N52" i="534"/>
  <c r="N15" i="534"/>
  <c r="N53" i="534"/>
  <c r="N16" i="534"/>
  <c r="N54" i="534"/>
  <c r="N17" i="534"/>
  <c r="N55" i="534"/>
  <c r="N18" i="534"/>
  <c r="N56" i="534"/>
  <c r="N57" i="534"/>
  <c r="N58" i="534"/>
  <c r="N59" i="534"/>
  <c r="N20" i="534"/>
  <c r="N60" i="534"/>
  <c r="N61" i="534"/>
  <c r="N62" i="534"/>
  <c r="N23" i="534"/>
  <c r="N63" i="534"/>
  <c r="N69" i="534"/>
  <c r="N68" i="534"/>
  <c r="N72" i="534"/>
  <c r="N97" i="534"/>
  <c r="O45" i="534"/>
  <c r="O46" i="534"/>
  <c r="O9" i="534"/>
  <c r="O4" i="534"/>
  <c r="O110" i="534"/>
  <c r="O111" i="534"/>
  <c r="O112" i="534"/>
  <c r="O113" i="534"/>
  <c r="O47" i="534"/>
  <c r="O10" i="534"/>
  <c r="O48" i="534"/>
  <c r="O11" i="534"/>
  <c r="O49" i="534"/>
  <c r="O12" i="534"/>
  <c r="O50" i="534"/>
  <c r="O13" i="534"/>
  <c r="O51" i="534"/>
  <c r="O14" i="534"/>
  <c r="O52" i="534"/>
  <c r="O15" i="534"/>
  <c r="O53" i="534"/>
  <c r="O16" i="534"/>
  <c r="O54" i="534"/>
  <c r="O17" i="534"/>
  <c r="O55" i="534"/>
  <c r="O18" i="534"/>
  <c r="O56" i="534"/>
  <c r="O57" i="534"/>
  <c r="O58" i="534"/>
  <c r="O59" i="534"/>
  <c r="O20" i="534"/>
  <c r="O60" i="534"/>
  <c r="O61" i="534"/>
  <c r="O62" i="534"/>
  <c r="O23" i="534"/>
  <c r="O63" i="534"/>
  <c r="O69" i="534"/>
  <c r="O68" i="534"/>
  <c r="O72" i="534"/>
  <c r="O97" i="534"/>
  <c r="P45" i="534"/>
  <c r="P46" i="534"/>
  <c r="P9" i="534"/>
  <c r="P4" i="534"/>
  <c r="P6" i="534"/>
  <c r="P110" i="534"/>
  <c r="P111" i="534"/>
  <c r="P112" i="534"/>
  <c r="P113" i="534"/>
  <c r="P47" i="534"/>
  <c r="P10" i="534"/>
  <c r="P48" i="534"/>
  <c r="P11" i="534"/>
  <c r="P49" i="534"/>
  <c r="P12" i="534"/>
  <c r="P50" i="534"/>
  <c r="P13" i="534"/>
  <c r="P51" i="534"/>
  <c r="P14" i="534"/>
  <c r="P52" i="534"/>
  <c r="P15" i="534"/>
  <c r="P53" i="534"/>
  <c r="P16" i="534"/>
  <c r="P54" i="534"/>
  <c r="P17" i="534"/>
  <c r="P55" i="534"/>
  <c r="P18" i="534"/>
  <c r="P56" i="534"/>
  <c r="P57" i="534"/>
  <c r="P58" i="534"/>
  <c r="P59" i="534"/>
  <c r="P20" i="534"/>
  <c r="P60" i="534"/>
  <c r="P61" i="534"/>
  <c r="P62" i="534"/>
  <c r="P63" i="534"/>
  <c r="P69" i="534"/>
  <c r="H45" i="534"/>
  <c r="H46" i="534"/>
  <c r="H110" i="534"/>
  <c r="H111" i="534"/>
  <c r="H112" i="534"/>
  <c r="H113" i="534"/>
  <c r="H47" i="534"/>
  <c r="H49" i="534"/>
  <c r="H50" i="534"/>
  <c r="H51" i="534"/>
  <c r="H52" i="534"/>
  <c r="H53" i="534"/>
  <c r="H54" i="534"/>
  <c r="H55" i="534"/>
  <c r="H56" i="534"/>
  <c r="H57" i="534"/>
  <c r="H58" i="534"/>
  <c r="H59" i="534"/>
  <c r="H60" i="534"/>
  <c r="H61" i="534"/>
  <c r="H48" i="534"/>
  <c r="H62" i="534"/>
  <c r="H63" i="534"/>
  <c r="H69" i="534"/>
  <c r="H68" i="534"/>
  <c r="H72" i="534"/>
  <c r="H96" i="534"/>
  <c r="I45" i="534"/>
  <c r="I46" i="534"/>
  <c r="I110" i="534"/>
  <c r="I111" i="534"/>
  <c r="I112" i="534"/>
  <c r="I113" i="534"/>
  <c r="I47" i="534"/>
  <c r="I48" i="534"/>
  <c r="I49" i="534"/>
  <c r="I50" i="534"/>
  <c r="I51" i="534"/>
  <c r="I52" i="534"/>
  <c r="I53" i="534"/>
  <c r="I54" i="534"/>
  <c r="I55" i="534"/>
  <c r="I56" i="534"/>
  <c r="I57" i="534"/>
  <c r="I58" i="534"/>
  <c r="I59" i="534"/>
  <c r="I60" i="534"/>
  <c r="I61" i="534"/>
  <c r="I62" i="534"/>
  <c r="I63" i="534"/>
  <c r="I69" i="534"/>
  <c r="I68" i="534"/>
  <c r="I72" i="534"/>
  <c r="I96" i="534"/>
  <c r="J45" i="534"/>
  <c r="J46" i="534"/>
  <c r="J110" i="534"/>
  <c r="J111" i="534"/>
  <c r="J112" i="534"/>
  <c r="J113" i="534"/>
  <c r="J47" i="534"/>
  <c r="J48" i="534"/>
  <c r="J49" i="534"/>
  <c r="J50" i="534"/>
  <c r="J51" i="534"/>
  <c r="J52" i="534"/>
  <c r="J53" i="534"/>
  <c r="J54" i="534"/>
  <c r="J55" i="534"/>
  <c r="J56" i="534"/>
  <c r="J57" i="534"/>
  <c r="J58" i="534"/>
  <c r="J59" i="534"/>
  <c r="J60" i="534"/>
  <c r="J61" i="534"/>
  <c r="J62" i="534"/>
  <c r="J63" i="534"/>
  <c r="J69" i="534"/>
  <c r="J68" i="534"/>
  <c r="J72" i="534"/>
  <c r="J96" i="534"/>
  <c r="K45" i="534"/>
  <c r="K46" i="534"/>
  <c r="K110" i="534"/>
  <c r="K111" i="534"/>
  <c r="K112" i="534"/>
  <c r="K113" i="534"/>
  <c r="K47" i="534"/>
  <c r="K48" i="534"/>
  <c r="K49" i="534"/>
  <c r="K50" i="534"/>
  <c r="K51" i="534"/>
  <c r="K52" i="534"/>
  <c r="K53" i="534"/>
  <c r="K54" i="534"/>
  <c r="K55" i="534"/>
  <c r="K56" i="534"/>
  <c r="K57" i="534"/>
  <c r="K58" i="534"/>
  <c r="K59" i="534"/>
  <c r="K60" i="534"/>
  <c r="K61" i="534"/>
  <c r="K62" i="534"/>
  <c r="K63" i="534"/>
  <c r="K69" i="534"/>
  <c r="K68" i="534"/>
  <c r="K72" i="534"/>
  <c r="K96" i="534"/>
  <c r="G45" i="534"/>
  <c r="G46" i="534"/>
  <c r="G110" i="534"/>
  <c r="G111" i="534"/>
  <c r="G112" i="534"/>
  <c r="G113" i="534"/>
  <c r="G47" i="534"/>
  <c r="G48" i="534"/>
  <c r="G49" i="534"/>
  <c r="G50" i="534"/>
  <c r="G51" i="534"/>
  <c r="G52" i="534"/>
  <c r="G53" i="534"/>
  <c r="G54" i="534"/>
  <c r="G55" i="534"/>
  <c r="G56" i="534"/>
  <c r="G57" i="534"/>
  <c r="G58" i="534"/>
  <c r="G59" i="534"/>
  <c r="G60" i="534"/>
  <c r="G61" i="534"/>
  <c r="G62" i="534"/>
  <c r="G63" i="534"/>
  <c r="G68" i="534"/>
  <c r="G69" i="534"/>
  <c r="G72" i="534"/>
  <c r="G96" i="534"/>
  <c r="S96" i="534"/>
  <c r="P38" i="534"/>
  <c r="P72" i="534"/>
  <c r="P68" i="534"/>
  <c r="P97" i="534"/>
  <c r="Q45" i="534"/>
  <c r="Q46" i="534"/>
  <c r="Q9" i="534"/>
  <c r="Q4" i="534"/>
  <c r="Q6" i="534"/>
  <c r="Q110" i="534"/>
  <c r="Q111" i="534"/>
  <c r="Q112" i="534"/>
  <c r="Q113" i="534"/>
  <c r="Q47" i="534"/>
  <c r="Q10" i="534"/>
  <c r="Q48" i="534"/>
  <c r="Q11" i="534"/>
  <c r="Q49" i="534"/>
  <c r="Q12" i="534"/>
  <c r="Q50" i="534"/>
  <c r="Q13" i="534"/>
  <c r="Q51" i="534"/>
  <c r="Q14" i="534"/>
  <c r="Q52" i="534"/>
  <c r="Q15" i="534"/>
  <c r="Q53" i="534"/>
  <c r="Q16" i="534"/>
  <c r="Q54" i="534"/>
  <c r="Q17" i="534"/>
  <c r="Q55" i="534"/>
  <c r="Q18" i="534"/>
  <c r="Q56" i="534"/>
  <c r="Q57" i="534"/>
  <c r="Q58" i="534"/>
  <c r="Q59" i="534"/>
  <c r="Q20" i="534"/>
  <c r="Q60" i="534"/>
  <c r="Q61" i="534"/>
  <c r="Q62" i="534"/>
  <c r="Q24" i="534"/>
  <c r="Q63" i="534"/>
  <c r="Q69" i="534"/>
  <c r="Q72" i="534"/>
  <c r="Q68" i="534"/>
  <c r="Q97" i="534"/>
  <c r="R45" i="534"/>
  <c r="R46" i="534"/>
  <c r="R9" i="534"/>
  <c r="R4" i="534"/>
  <c r="R6" i="534"/>
  <c r="R110" i="534"/>
  <c r="R111" i="534"/>
  <c r="R112" i="534"/>
  <c r="R113" i="534"/>
  <c r="R47" i="534"/>
  <c r="R10" i="534"/>
  <c r="R48" i="534"/>
  <c r="R11" i="534"/>
  <c r="R49" i="534"/>
  <c r="R12" i="534"/>
  <c r="R50" i="534"/>
  <c r="R13" i="534"/>
  <c r="R51" i="534"/>
  <c r="R14" i="534"/>
  <c r="R52" i="534"/>
  <c r="R15" i="534"/>
  <c r="R53" i="534"/>
  <c r="R16" i="534"/>
  <c r="R54" i="534"/>
  <c r="R17" i="534"/>
  <c r="R55" i="534"/>
  <c r="R18" i="534"/>
  <c r="R56" i="534"/>
  <c r="R57" i="534"/>
  <c r="R58" i="534"/>
  <c r="R59" i="534"/>
  <c r="R20" i="534"/>
  <c r="R60" i="534"/>
  <c r="R61" i="534"/>
  <c r="R62" i="534"/>
  <c r="R24" i="534"/>
  <c r="R63" i="534"/>
  <c r="R69" i="534"/>
  <c r="R38" i="534"/>
  <c r="R72" i="534"/>
  <c r="R68" i="534"/>
  <c r="R97" i="534"/>
  <c r="M45" i="535"/>
  <c r="M46" i="535"/>
  <c r="H9" i="535"/>
  <c r="I9" i="535"/>
  <c r="J9" i="535"/>
  <c r="K9" i="535"/>
  <c r="L9" i="535"/>
  <c r="M9" i="535"/>
  <c r="H4" i="535"/>
  <c r="I4" i="535"/>
  <c r="J4" i="535"/>
  <c r="K4" i="535"/>
  <c r="L4" i="535"/>
  <c r="M4" i="535"/>
  <c r="M110" i="535"/>
  <c r="M111" i="535"/>
  <c r="M112" i="535"/>
  <c r="M113" i="535"/>
  <c r="M47" i="535"/>
  <c r="H10" i="535"/>
  <c r="I10" i="535"/>
  <c r="J10" i="535"/>
  <c r="K10" i="535"/>
  <c r="L10" i="535"/>
  <c r="M10" i="535"/>
  <c r="M48" i="535"/>
  <c r="H11" i="535"/>
  <c r="I11" i="535"/>
  <c r="J11" i="535"/>
  <c r="K11" i="535"/>
  <c r="L11" i="535"/>
  <c r="M11" i="535"/>
  <c r="D49" i="535"/>
  <c r="M49" i="535"/>
  <c r="H12" i="535"/>
  <c r="I12" i="535"/>
  <c r="J12" i="535"/>
  <c r="K12" i="535"/>
  <c r="L12" i="535"/>
  <c r="M12" i="535"/>
  <c r="D50" i="535"/>
  <c r="M50" i="535"/>
  <c r="H13" i="535"/>
  <c r="I13" i="535"/>
  <c r="J13" i="535"/>
  <c r="K13" i="535"/>
  <c r="L13" i="535"/>
  <c r="M13" i="535"/>
  <c r="D51" i="535"/>
  <c r="M51" i="535"/>
  <c r="H14" i="535"/>
  <c r="I14" i="535"/>
  <c r="J14" i="535"/>
  <c r="K14" i="535"/>
  <c r="L14" i="535"/>
  <c r="M14" i="535"/>
  <c r="D52" i="535"/>
  <c r="M52" i="535"/>
  <c r="H15" i="535"/>
  <c r="I15" i="535"/>
  <c r="J15" i="535"/>
  <c r="K15" i="535"/>
  <c r="L15" i="535"/>
  <c r="M15" i="535"/>
  <c r="D53" i="535"/>
  <c r="M53" i="535"/>
  <c r="H16" i="535"/>
  <c r="I16" i="535"/>
  <c r="J16" i="535"/>
  <c r="K16" i="535"/>
  <c r="L16" i="535"/>
  <c r="M16" i="535"/>
  <c r="D54" i="535"/>
  <c r="M54" i="535"/>
  <c r="H17" i="535"/>
  <c r="I17" i="535"/>
  <c r="J17" i="535"/>
  <c r="K17" i="535"/>
  <c r="L17" i="535"/>
  <c r="M17" i="535"/>
  <c r="M55" i="535"/>
  <c r="H18" i="535"/>
  <c r="I18" i="535"/>
  <c r="J18" i="535"/>
  <c r="K18" i="535"/>
  <c r="L18" i="535"/>
  <c r="M18" i="535"/>
  <c r="M56" i="535"/>
  <c r="M57" i="535"/>
  <c r="M58" i="535"/>
  <c r="M59" i="535"/>
  <c r="H20" i="535"/>
  <c r="I20" i="535"/>
  <c r="J20" i="535"/>
  <c r="K20" i="535"/>
  <c r="L20" i="535"/>
  <c r="M20" i="535"/>
  <c r="D60" i="535"/>
  <c r="E60" i="535"/>
  <c r="M60" i="535"/>
  <c r="M61" i="535"/>
  <c r="M62" i="535"/>
  <c r="H23" i="535"/>
  <c r="I23" i="535"/>
  <c r="J23" i="535"/>
  <c r="K23" i="535"/>
  <c r="L23" i="535"/>
  <c r="M23" i="535"/>
  <c r="M63" i="535"/>
  <c r="M69" i="535"/>
  <c r="M68" i="535"/>
  <c r="M72" i="535"/>
  <c r="M97" i="535"/>
  <c r="N45" i="535"/>
  <c r="N46" i="535"/>
  <c r="N9" i="535"/>
  <c r="N4" i="535"/>
  <c r="N110" i="535"/>
  <c r="N111" i="535"/>
  <c r="N112" i="535"/>
  <c r="N113" i="535"/>
  <c r="N47" i="535"/>
  <c r="N10" i="535"/>
  <c r="N48" i="535"/>
  <c r="N11" i="535"/>
  <c r="N49" i="535"/>
  <c r="N12" i="535"/>
  <c r="N50" i="535"/>
  <c r="N13" i="535"/>
  <c r="N51" i="535"/>
  <c r="N14" i="535"/>
  <c r="N52" i="535"/>
  <c r="N15" i="535"/>
  <c r="N53" i="535"/>
  <c r="N16" i="535"/>
  <c r="N54" i="535"/>
  <c r="N17" i="535"/>
  <c r="N55" i="535"/>
  <c r="N18" i="535"/>
  <c r="N56" i="535"/>
  <c r="N57" i="535"/>
  <c r="N58" i="535"/>
  <c r="N59" i="535"/>
  <c r="N20" i="535"/>
  <c r="N60" i="535"/>
  <c r="N61" i="535"/>
  <c r="N62" i="535"/>
  <c r="N23" i="535"/>
  <c r="N63" i="535"/>
  <c r="N69" i="535"/>
  <c r="N68" i="535"/>
  <c r="N72" i="535"/>
  <c r="N97" i="535"/>
  <c r="O45" i="535"/>
  <c r="O46" i="535"/>
  <c r="O9" i="535"/>
  <c r="O4" i="535"/>
  <c r="O110" i="535"/>
  <c r="O111" i="535"/>
  <c r="O112" i="535"/>
  <c r="O113" i="535"/>
  <c r="O47" i="535"/>
  <c r="O10" i="535"/>
  <c r="O48" i="535"/>
  <c r="O11" i="535"/>
  <c r="O49" i="535"/>
  <c r="O12" i="535"/>
  <c r="O50" i="535"/>
  <c r="O13" i="535"/>
  <c r="O51" i="535"/>
  <c r="O14" i="535"/>
  <c r="O52" i="535"/>
  <c r="O15" i="535"/>
  <c r="O53" i="535"/>
  <c r="O16" i="535"/>
  <c r="O54" i="535"/>
  <c r="O17" i="535"/>
  <c r="O55" i="535"/>
  <c r="O18" i="535"/>
  <c r="O56" i="535"/>
  <c r="O57" i="535"/>
  <c r="O58" i="535"/>
  <c r="O59" i="535"/>
  <c r="O20" i="535"/>
  <c r="O60" i="535"/>
  <c r="O61" i="535"/>
  <c r="O62" i="535"/>
  <c r="O23" i="535"/>
  <c r="O63" i="535"/>
  <c r="O69" i="535"/>
  <c r="O68" i="535"/>
  <c r="O72" i="535"/>
  <c r="O97" i="535"/>
  <c r="P45" i="535"/>
  <c r="P46" i="535"/>
  <c r="P9" i="535"/>
  <c r="P4" i="535"/>
  <c r="P6" i="535"/>
  <c r="P110" i="535"/>
  <c r="P111" i="535"/>
  <c r="P112" i="535"/>
  <c r="P113" i="535"/>
  <c r="P47" i="535"/>
  <c r="P10" i="535"/>
  <c r="P48" i="535"/>
  <c r="P11" i="535"/>
  <c r="P49" i="535"/>
  <c r="P12" i="535"/>
  <c r="P50" i="535"/>
  <c r="P13" i="535"/>
  <c r="P51" i="535"/>
  <c r="P14" i="535"/>
  <c r="P52" i="535"/>
  <c r="P15" i="535"/>
  <c r="P53" i="535"/>
  <c r="P16" i="535"/>
  <c r="P54" i="535"/>
  <c r="P17" i="535"/>
  <c r="P55" i="535"/>
  <c r="P18" i="535"/>
  <c r="P56" i="535"/>
  <c r="P57" i="535"/>
  <c r="P58" i="535"/>
  <c r="P59" i="535"/>
  <c r="P20" i="535"/>
  <c r="P60" i="535"/>
  <c r="P61" i="535"/>
  <c r="P62" i="535"/>
  <c r="P63" i="535"/>
  <c r="P69" i="535"/>
  <c r="H45" i="535"/>
  <c r="H46" i="535"/>
  <c r="H110" i="535"/>
  <c r="H111" i="535"/>
  <c r="H112" i="535"/>
  <c r="H113" i="535"/>
  <c r="H47" i="535"/>
  <c r="H49" i="535"/>
  <c r="H50" i="535"/>
  <c r="H51" i="535"/>
  <c r="H52" i="535"/>
  <c r="H53" i="535"/>
  <c r="H54" i="535"/>
  <c r="H55" i="535"/>
  <c r="H56" i="535"/>
  <c r="H57" i="535"/>
  <c r="H58" i="535"/>
  <c r="H59" i="535"/>
  <c r="H60" i="535"/>
  <c r="H61" i="535"/>
  <c r="H48" i="535"/>
  <c r="H62" i="535"/>
  <c r="H63" i="535"/>
  <c r="H69" i="535"/>
  <c r="H68" i="535"/>
  <c r="H72" i="535"/>
  <c r="H96" i="535"/>
  <c r="I45" i="535"/>
  <c r="I46" i="535"/>
  <c r="I110" i="535"/>
  <c r="I111" i="535"/>
  <c r="I112" i="535"/>
  <c r="I113" i="535"/>
  <c r="I47" i="535"/>
  <c r="I48" i="535"/>
  <c r="I49" i="535"/>
  <c r="I50" i="535"/>
  <c r="I51" i="535"/>
  <c r="I52" i="535"/>
  <c r="I53" i="535"/>
  <c r="I54" i="535"/>
  <c r="I55" i="535"/>
  <c r="I56" i="535"/>
  <c r="I57" i="535"/>
  <c r="I58" i="535"/>
  <c r="I59" i="535"/>
  <c r="I60" i="535"/>
  <c r="I61" i="535"/>
  <c r="I62" i="535"/>
  <c r="I63" i="535"/>
  <c r="I69" i="535"/>
  <c r="I68" i="535"/>
  <c r="I72" i="535"/>
  <c r="I96" i="535"/>
  <c r="J45" i="535"/>
  <c r="J46" i="535"/>
  <c r="J110" i="535"/>
  <c r="J111" i="535"/>
  <c r="J112" i="535"/>
  <c r="J113" i="535"/>
  <c r="J47" i="535"/>
  <c r="J48" i="535"/>
  <c r="J49" i="535"/>
  <c r="J50" i="535"/>
  <c r="J51" i="535"/>
  <c r="J52" i="535"/>
  <c r="J53" i="535"/>
  <c r="J54" i="535"/>
  <c r="J55" i="535"/>
  <c r="J56" i="535"/>
  <c r="J57" i="535"/>
  <c r="J58" i="535"/>
  <c r="J59" i="535"/>
  <c r="J60" i="535"/>
  <c r="J61" i="535"/>
  <c r="J62" i="535"/>
  <c r="J63" i="535"/>
  <c r="J69" i="535"/>
  <c r="J68" i="535"/>
  <c r="J72" i="535"/>
  <c r="J96" i="535"/>
  <c r="K45" i="535"/>
  <c r="K46" i="535"/>
  <c r="K110" i="535"/>
  <c r="K111" i="535"/>
  <c r="K112" i="535"/>
  <c r="K113" i="535"/>
  <c r="K47" i="535"/>
  <c r="K48" i="535"/>
  <c r="K49" i="535"/>
  <c r="K50" i="535"/>
  <c r="K51" i="535"/>
  <c r="K52" i="535"/>
  <c r="K53" i="535"/>
  <c r="K54" i="535"/>
  <c r="K55" i="535"/>
  <c r="K56" i="535"/>
  <c r="K57" i="535"/>
  <c r="K58" i="535"/>
  <c r="K59" i="535"/>
  <c r="K60" i="535"/>
  <c r="K61" i="535"/>
  <c r="K62" i="535"/>
  <c r="K63" i="535"/>
  <c r="K69" i="535"/>
  <c r="K68" i="535"/>
  <c r="K72" i="535"/>
  <c r="K96" i="535"/>
  <c r="G45" i="535"/>
  <c r="G46" i="535"/>
  <c r="G110" i="535"/>
  <c r="G111" i="535"/>
  <c r="G112" i="535"/>
  <c r="G113" i="535"/>
  <c r="G47" i="535"/>
  <c r="G48" i="535"/>
  <c r="G49" i="535"/>
  <c r="G50" i="535"/>
  <c r="G51" i="535"/>
  <c r="G52" i="535"/>
  <c r="G53" i="535"/>
  <c r="G54" i="535"/>
  <c r="G55" i="535"/>
  <c r="G56" i="535"/>
  <c r="G57" i="535"/>
  <c r="G58" i="535"/>
  <c r="G59" i="535"/>
  <c r="G60" i="535"/>
  <c r="G61" i="535"/>
  <c r="G62" i="535"/>
  <c r="G63" i="535"/>
  <c r="G68" i="535"/>
  <c r="G69" i="535"/>
  <c r="G72" i="535"/>
  <c r="G96" i="535"/>
  <c r="S96" i="535"/>
  <c r="P38" i="535"/>
  <c r="P72" i="535"/>
  <c r="P68" i="535"/>
  <c r="P97" i="535"/>
  <c r="Q45" i="535"/>
  <c r="Q46" i="535"/>
  <c r="Q9" i="535"/>
  <c r="Q4" i="535"/>
  <c r="Q6" i="535"/>
  <c r="Q110" i="535"/>
  <c r="Q111" i="535"/>
  <c r="Q112" i="535"/>
  <c r="Q113" i="535"/>
  <c r="Q47" i="535"/>
  <c r="Q10" i="535"/>
  <c r="Q48" i="535"/>
  <c r="Q11" i="535"/>
  <c r="Q49" i="535"/>
  <c r="Q12" i="535"/>
  <c r="Q50" i="535"/>
  <c r="Q13" i="535"/>
  <c r="Q51" i="535"/>
  <c r="Q14" i="535"/>
  <c r="Q52" i="535"/>
  <c r="Q15" i="535"/>
  <c r="Q53" i="535"/>
  <c r="Q16" i="535"/>
  <c r="Q54" i="535"/>
  <c r="Q17" i="535"/>
  <c r="Q55" i="535"/>
  <c r="Q18" i="535"/>
  <c r="Q56" i="535"/>
  <c r="Q57" i="535"/>
  <c r="Q58" i="535"/>
  <c r="Q59" i="535"/>
  <c r="Q20" i="535"/>
  <c r="Q60" i="535"/>
  <c r="Q61" i="535"/>
  <c r="Q62" i="535"/>
  <c r="Q24" i="535"/>
  <c r="Q63" i="535"/>
  <c r="Q69" i="535"/>
  <c r="Q72" i="535"/>
  <c r="Q68" i="535"/>
  <c r="Q97" i="535"/>
  <c r="R45" i="535"/>
  <c r="R46" i="535"/>
  <c r="R9" i="535"/>
  <c r="R4" i="535"/>
  <c r="R6" i="535"/>
  <c r="R110" i="535"/>
  <c r="R111" i="535"/>
  <c r="R112" i="535"/>
  <c r="R113" i="535"/>
  <c r="R47" i="535"/>
  <c r="R10" i="535"/>
  <c r="R48" i="535"/>
  <c r="R11" i="535"/>
  <c r="R49" i="535"/>
  <c r="R12" i="535"/>
  <c r="R50" i="535"/>
  <c r="R13" i="535"/>
  <c r="R51" i="535"/>
  <c r="R14" i="535"/>
  <c r="R52" i="535"/>
  <c r="R15" i="535"/>
  <c r="R53" i="535"/>
  <c r="R16" i="535"/>
  <c r="R54" i="535"/>
  <c r="R17" i="535"/>
  <c r="R55" i="535"/>
  <c r="R18" i="535"/>
  <c r="R56" i="535"/>
  <c r="R57" i="535"/>
  <c r="R58" i="535"/>
  <c r="R59" i="535"/>
  <c r="R20" i="535"/>
  <c r="R60" i="535"/>
  <c r="R61" i="535"/>
  <c r="R62" i="535"/>
  <c r="R24" i="535"/>
  <c r="R63" i="535"/>
  <c r="R69" i="535"/>
  <c r="R38" i="535"/>
  <c r="R72" i="535"/>
  <c r="R68" i="535"/>
  <c r="R97" i="535"/>
  <c r="M45" i="536"/>
  <c r="M46" i="536"/>
  <c r="H9" i="536"/>
  <c r="I9" i="536"/>
  <c r="J9" i="536"/>
  <c r="K9" i="536"/>
  <c r="L9" i="536"/>
  <c r="M9" i="536"/>
  <c r="H4" i="536"/>
  <c r="I4" i="536"/>
  <c r="J4" i="536"/>
  <c r="K4" i="536"/>
  <c r="L4" i="536"/>
  <c r="M4" i="536"/>
  <c r="M110" i="536"/>
  <c r="M111" i="536"/>
  <c r="M112" i="536"/>
  <c r="M113" i="536"/>
  <c r="M47" i="536"/>
  <c r="H10" i="536"/>
  <c r="I10" i="536"/>
  <c r="J10" i="536"/>
  <c r="K10" i="536"/>
  <c r="L10" i="536"/>
  <c r="M10" i="536"/>
  <c r="M48" i="536"/>
  <c r="H11" i="536"/>
  <c r="I11" i="536"/>
  <c r="J11" i="536"/>
  <c r="K11" i="536"/>
  <c r="L11" i="536"/>
  <c r="M11" i="536"/>
  <c r="D49" i="536"/>
  <c r="M49" i="536"/>
  <c r="H12" i="536"/>
  <c r="I12" i="536"/>
  <c r="J12" i="536"/>
  <c r="K12" i="536"/>
  <c r="L12" i="536"/>
  <c r="M12" i="536"/>
  <c r="D50" i="536"/>
  <c r="M50" i="536"/>
  <c r="H13" i="536"/>
  <c r="I13" i="536"/>
  <c r="J13" i="536"/>
  <c r="K13" i="536"/>
  <c r="L13" i="536"/>
  <c r="M13" i="536"/>
  <c r="D51" i="536"/>
  <c r="M51" i="536"/>
  <c r="H14" i="536"/>
  <c r="I14" i="536"/>
  <c r="J14" i="536"/>
  <c r="K14" i="536"/>
  <c r="L14" i="536"/>
  <c r="M14" i="536"/>
  <c r="D52" i="536"/>
  <c r="M52" i="536"/>
  <c r="H15" i="536"/>
  <c r="I15" i="536"/>
  <c r="J15" i="536"/>
  <c r="K15" i="536"/>
  <c r="L15" i="536"/>
  <c r="M15" i="536"/>
  <c r="D53" i="536"/>
  <c r="M53" i="536"/>
  <c r="H16" i="536"/>
  <c r="I16" i="536"/>
  <c r="J16" i="536"/>
  <c r="K16" i="536"/>
  <c r="L16" i="536"/>
  <c r="M16" i="536"/>
  <c r="D54" i="536"/>
  <c r="M54" i="536"/>
  <c r="H17" i="536"/>
  <c r="I17" i="536"/>
  <c r="J17" i="536"/>
  <c r="K17" i="536"/>
  <c r="L17" i="536"/>
  <c r="M17" i="536"/>
  <c r="M55" i="536"/>
  <c r="H18" i="536"/>
  <c r="I18" i="536"/>
  <c r="J18" i="536"/>
  <c r="K18" i="536"/>
  <c r="L18" i="536"/>
  <c r="M18" i="536"/>
  <c r="M56" i="536"/>
  <c r="M57" i="536"/>
  <c r="M58" i="536"/>
  <c r="M59" i="536"/>
  <c r="H20" i="536"/>
  <c r="I20" i="536"/>
  <c r="J20" i="536"/>
  <c r="K20" i="536"/>
  <c r="L20" i="536"/>
  <c r="M20" i="536"/>
  <c r="D60" i="536"/>
  <c r="E60" i="536"/>
  <c r="M60" i="536"/>
  <c r="M61" i="536"/>
  <c r="M62" i="536"/>
  <c r="H23" i="536"/>
  <c r="I23" i="536"/>
  <c r="J23" i="536"/>
  <c r="K23" i="536"/>
  <c r="L23" i="536"/>
  <c r="M23" i="536"/>
  <c r="M63" i="536"/>
  <c r="M69" i="536"/>
  <c r="M68" i="536"/>
  <c r="M72" i="536"/>
  <c r="M97" i="536"/>
  <c r="N45" i="536"/>
  <c r="N46" i="536"/>
  <c r="N9" i="536"/>
  <c r="N4" i="536"/>
  <c r="N110" i="536"/>
  <c r="N111" i="536"/>
  <c r="N112" i="536"/>
  <c r="N113" i="536"/>
  <c r="N47" i="536"/>
  <c r="N10" i="536"/>
  <c r="N48" i="536"/>
  <c r="N11" i="536"/>
  <c r="N49" i="536"/>
  <c r="N12" i="536"/>
  <c r="N50" i="536"/>
  <c r="N13" i="536"/>
  <c r="N51" i="536"/>
  <c r="N14" i="536"/>
  <c r="N52" i="536"/>
  <c r="N15" i="536"/>
  <c r="N53" i="536"/>
  <c r="N16" i="536"/>
  <c r="N54" i="536"/>
  <c r="N17" i="536"/>
  <c r="N55" i="536"/>
  <c r="N18" i="536"/>
  <c r="N56" i="536"/>
  <c r="N57" i="536"/>
  <c r="N58" i="536"/>
  <c r="N59" i="536"/>
  <c r="N20" i="536"/>
  <c r="N60" i="536"/>
  <c r="N61" i="536"/>
  <c r="N62" i="536"/>
  <c r="N23" i="536"/>
  <c r="N63" i="536"/>
  <c r="N69" i="536"/>
  <c r="N68" i="536"/>
  <c r="N72" i="536"/>
  <c r="N97" i="536"/>
  <c r="O45" i="536"/>
  <c r="O46" i="536"/>
  <c r="O9" i="536"/>
  <c r="O4" i="536"/>
  <c r="O110" i="536"/>
  <c r="O111" i="536"/>
  <c r="O112" i="536"/>
  <c r="O113" i="536"/>
  <c r="O47" i="536"/>
  <c r="O10" i="536"/>
  <c r="O48" i="536"/>
  <c r="O11" i="536"/>
  <c r="O49" i="536"/>
  <c r="O12" i="536"/>
  <c r="O50" i="536"/>
  <c r="O13" i="536"/>
  <c r="O51" i="536"/>
  <c r="O14" i="536"/>
  <c r="O52" i="536"/>
  <c r="O15" i="536"/>
  <c r="O53" i="536"/>
  <c r="O16" i="536"/>
  <c r="O54" i="536"/>
  <c r="O17" i="536"/>
  <c r="O55" i="536"/>
  <c r="O18" i="536"/>
  <c r="O56" i="536"/>
  <c r="O57" i="536"/>
  <c r="O58" i="536"/>
  <c r="O59" i="536"/>
  <c r="O20" i="536"/>
  <c r="O60" i="536"/>
  <c r="O61" i="536"/>
  <c r="O62" i="536"/>
  <c r="O23" i="536"/>
  <c r="O63" i="536"/>
  <c r="O69" i="536"/>
  <c r="O68" i="536"/>
  <c r="O72" i="536"/>
  <c r="O97" i="536"/>
  <c r="P45" i="536"/>
  <c r="P46" i="536"/>
  <c r="P9" i="536"/>
  <c r="P4" i="536"/>
  <c r="P6" i="536"/>
  <c r="P110" i="536"/>
  <c r="P111" i="536"/>
  <c r="P112" i="536"/>
  <c r="P113" i="536"/>
  <c r="P47" i="536"/>
  <c r="P10" i="536"/>
  <c r="P48" i="536"/>
  <c r="P11" i="536"/>
  <c r="P49" i="536"/>
  <c r="P12" i="536"/>
  <c r="P50" i="536"/>
  <c r="P13" i="536"/>
  <c r="P51" i="536"/>
  <c r="P14" i="536"/>
  <c r="P52" i="536"/>
  <c r="P15" i="536"/>
  <c r="P53" i="536"/>
  <c r="P16" i="536"/>
  <c r="P54" i="536"/>
  <c r="P17" i="536"/>
  <c r="P55" i="536"/>
  <c r="P18" i="536"/>
  <c r="P56" i="536"/>
  <c r="P57" i="536"/>
  <c r="P58" i="536"/>
  <c r="P59" i="536"/>
  <c r="P20" i="536"/>
  <c r="P60" i="536"/>
  <c r="P61" i="536"/>
  <c r="P62" i="536"/>
  <c r="P63" i="536"/>
  <c r="P69" i="536"/>
  <c r="H45" i="536"/>
  <c r="H46" i="536"/>
  <c r="H110" i="536"/>
  <c r="H111" i="536"/>
  <c r="H112" i="536"/>
  <c r="H113" i="536"/>
  <c r="H47" i="536"/>
  <c r="H49" i="536"/>
  <c r="H50" i="536"/>
  <c r="H51" i="536"/>
  <c r="H52" i="536"/>
  <c r="H53" i="536"/>
  <c r="H54" i="536"/>
  <c r="H55" i="536"/>
  <c r="H56" i="536"/>
  <c r="H57" i="536"/>
  <c r="H58" i="536"/>
  <c r="H59" i="536"/>
  <c r="H60" i="536"/>
  <c r="H61" i="536"/>
  <c r="H48" i="536"/>
  <c r="H62" i="536"/>
  <c r="H63" i="536"/>
  <c r="H69" i="536"/>
  <c r="H68" i="536"/>
  <c r="H72" i="536"/>
  <c r="H96" i="536"/>
  <c r="I45" i="536"/>
  <c r="I46" i="536"/>
  <c r="I110" i="536"/>
  <c r="I111" i="536"/>
  <c r="I112" i="536"/>
  <c r="I113" i="536"/>
  <c r="I47" i="536"/>
  <c r="I48" i="536"/>
  <c r="I49" i="536"/>
  <c r="I50" i="536"/>
  <c r="I51" i="536"/>
  <c r="I52" i="536"/>
  <c r="I53" i="536"/>
  <c r="I54" i="536"/>
  <c r="I55" i="536"/>
  <c r="I56" i="536"/>
  <c r="I57" i="536"/>
  <c r="I58" i="536"/>
  <c r="I59" i="536"/>
  <c r="I60" i="536"/>
  <c r="I61" i="536"/>
  <c r="I62" i="536"/>
  <c r="I63" i="536"/>
  <c r="I69" i="536"/>
  <c r="I68" i="536"/>
  <c r="I72" i="536"/>
  <c r="I96" i="536"/>
  <c r="J45" i="536"/>
  <c r="J46" i="536"/>
  <c r="J110" i="536"/>
  <c r="J111" i="536"/>
  <c r="J112" i="536"/>
  <c r="J113" i="536"/>
  <c r="J47" i="536"/>
  <c r="J48" i="536"/>
  <c r="J49" i="536"/>
  <c r="J50" i="536"/>
  <c r="J51" i="536"/>
  <c r="J52" i="536"/>
  <c r="J53" i="536"/>
  <c r="J54" i="536"/>
  <c r="J55" i="536"/>
  <c r="J56" i="536"/>
  <c r="J57" i="536"/>
  <c r="J58" i="536"/>
  <c r="J59" i="536"/>
  <c r="J60" i="536"/>
  <c r="J61" i="536"/>
  <c r="J62" i="536"/>
  <c r="J63" i="536"/>
  <c r="J69" i="536"/>
  <c r="J68" i="536"/>
  <c r="J72" i="536"/>
  <c r="J96" i="536"/>
  <c r="K45" i="536"/>
  <c r="K46" i="536"/>
  <c r="K110" i="536"/>
  <c r="K111" i="536"/>
  <c r="K112" i="536"/>
  <c r="K113" i="536"/>
  <c r="K47" i="536"/>
  <c r="K48" i="536"/>
  <c r="K49" i="536"/>
  <c r="K50" i="536"/>
  <c r="K51" i="536"/>
  <c r="K52" i="536"/>
  <c r="K53" i="536"/>
  <c r="K54" i="536"/>
  <c r="K55" i="536"/>
  <c r="K56" i="536"/>
  <c r="K57" i="536"/>
  <c r="K58" i="536"/>
  <c r="K59" i="536"/>
  <c r="K60" i="536"/>
  <c r="K61" i="536"/>
  <c r="K62" i="536"/>
  <c r="K63" i="536"/>
  <c r="K69" i="536"/>
  <c r="K68" i="536"/>
  <c r="K72" i="536"/>
  <c r="K96" i="536"/>
  <c r="G45" i="536"/>
  <c r="G46" i="536"/>
  <c r="G110" i="536"/>
  <c r="G111" i="536"/>
  <c r="G112" i="536"/>
  <c r="G113" i="536"/>
  <c r="G47" i="536"/>
  <c r="G48" i="536"/>
  <c r="G49" i="536"/>
  <c r="G50" i="536"/>
  <c r="G51" i="536"/>
  <c r="G52" i="536"/>
  <c r="G53" i="536"/>
  <c r="G54" i="536"/>
  <c r="G55" i="536"/>
  <c r="G56" i="536"/>
  <c r="G57" i="536"/>
  <c r="G58" i="536"/>
  <c r="G59" i="536"/>
  <c r="G60" i="536"/>
  <c r="G61" i="536"/>
  <c r="G62" i="536"/>
  <c r="G63" i="536"/>
  <c r="G68" i="536"/>
  <c r="G69" i="536"/>
  <c r="G72" i="536"/>
  <c r="G96" i="536"/>
  <c r="S96" i="536"/>
  <c r="P38" i="536"/>
  <c r="P72" i="536"/>
  <c r="P68" i="536"/>
  <c r="P97" i="536"/>
  <c r="Q45" i="536"/>
  <c r="Q46" i="536"/>
  <c r="Q9" i="536"/>
  <c r="Q4" i="536"/>
  <c r="Q6" i="536"/>
  <c r="Q110" i="536"/>
  <c r="Q111" i="536"/>
  <c r="Q112" i="536"/>
  <c r="Q113" i="536"/>
  <c r="Q47" i="536"/>
  <c r="Q10" i="536"/>
  <c r="Q48" i="536"/>
  <c r="Q11" i="536"/>
  <c r="Q49" i="536"/>
  <c r="Q12" i="536"/>
  <c r="Q50" i="536"/>
  <c r="Q13" i="536"/>
  <c r="Q51" i="536"/>
  <c r="Q14" i="536"/>
  <c r="Q52" i="536"/>
  <c r="Q15" i="536"/>
  <c r="Q53" i="536"/>
  <c r="Q16" i="536"/>
  <c r="Q54" i="536"/>
  <c r="Q17" i="536"/>
  <c r="Q55" i="536"/>
  <c r="Q18" i="536"/>
  <c r="Q56" i="536"/>
  <c r="Q57" i="536"/>
  <c r="Q58" i="536"/>
  <c r="Q59" i="536"/>
  <c r="Q20" i="536"/>
  <c r="Q60" i="536"/>
  <c r="Q61" i="536"/>
  <c r="Q62" i="536"/>
  <c r="Q24" i="536"/>
  <c r="Q63" i="536"/>
  <c r="Q69" i="536"/>
  <c r="Q72" i="536"/>
  <c r="Q68" i="536"/>
  <c r="Q97" i="536"/>
  <c r="R45" i="536"/>
  <c r="R46" i="536"/>
  <c r="R9" i="536"/>
  <c r="R4" i="536"/>
  <c r="R6" i="536"/>
  <c r="R110" i="536"/>
  <c r="R111" i="536"/>
  <c r="R112" i="536"/>
  <c r="R113" i="536"/>
  <c r="R47" i="536"/>
  <c r="R10" i="536"/>
  <c r="R48" i="536"/>
  <c r="R11" i="536"/>
  <c r="R49" i="536"/>
  <c r="R12" i="536"/>
  <c r="R50" i="536"/>
  <c r="R13" i="536"/>
  <c r="R51" i="536"/>
  <c r="R14" i="536"/>
  <c r="R52" i="536"/>
  <c r="R15" i="536"/>
  <c r="R53" i="536"/>
  <c r="R16" i="536"/>
  <c r="R54" i="536"/>
  <c r="R17" i="536"/>
  <c r="R55" i="536"/>
  <c r="R18" i="536"/>
  <c r="R56" i="536"/>
  <c r="R57" i="536"/>
  <c r="R58" i="536"/>
  <c r="R59" i="536"/>
  <c r="R20" i="536"/>
  <c r="R60" i="536"/>
  <c r="R61" i="536"/>
  <c r="R62" i="536"/>
  <c r="R24" i="536"/>
  <c r="R63" i="536"/>
  <c r="R69" i="536"/>
  <c r="R38" i="536"/>
  <c r="R72" i="536"/>
  <c r="R68" i="536"/>
  <c r="R97" i="536"/>
  <c r="M45" i="537"/>
  <c r="M46" i="537"/>
  <c r="H9" i="537"/>
  <c r="I9" i="537"/>
  <c r="J9" i="537"/>
  <c r="K9" i="537"/>
  <c r="L9" i="537"/>
  <c r="M9" i="537"/>
  <c r="H4" i="537"/>
  <c r="I4" i="537"/>
  <c r="J4" i="537"/>
  <c r="K4" i="537"/>
  <c r="L4" i="537"/>
  <c r="M4" i="537"/>
  <c r="M110" i="537"/>
  <c r="M111" i="537"/>
  <c r="M112" i="537"/>
  <c r="M113" i="537"/>
  <c r="M47" i="537"/>
  <c r="H10" i="537"/>
  <c r="I10" i="537"/>
  <c r="J10" i="537"/>
  <c r="K10" i="537"/>
  <c r="L10" i="537"/>
  <c r="M10" i="537"/>
  <c r="M48" i="537"/>
  <c r="H11" i="537"/>
  <c r="I11" i="537"/>
  <c r="J11" i="537"/>
  <c r="K11" i="537"/>
  <c r="L11" i="537"/>
  <c r="M11" i="537"/>
  <c r="D49" i="537"/>
  <c r="M49" i="537"/>
  <c r="H12" i="537"/>
  <c r="I12" i="537"/>
  <c r="J12" i="537"/>
  <c r="K12" i="537"/>
  <c r="L12" i="537"/>
  <c r="M12" i="537"/>
  <c r="D50" i="537"/>
  <c r="M50" i="537"/>
  <c r="H13" i="537"/>
  <c r="I13" i="537"/>
  <c r="J13" i="537"/>
  <c r="K13" i="537"/>
  <c r="L13" i="537"/>
  <c r="M13" i="537"/>
  <c r="D51" i="537"/>
  <c r="M51" i="537"/>
  <c r="H14" i="537"/>
  <c r="I14" i="537"/>
  <c r="J14" i="537"/>
  <c r="K14" i="537"/>
  <c r="L14" i="537"/>
  <c r="M14" i="537"/>
  <c r="D52" i="537"/>
  <c r="M52" i="537"/>
  <c r="H15" i="537"/>
  <c r="I15" i="537"/>
  <c r="J15" i="537"/>
  <c r="K15" i="537"/>
  <c r="L15" i="537"/>
  <c r="M15" i="537"/>
  <c r="D53" i="537"/>
  <c r="M53" i="537"/>
  <c r="H16" i="537"/>
  <c r="I16" i="537"/>
  <c r="J16" i="537"/>
  <c r="K16" i="537"/>
  <c r="L16" i="537"/>
  <c r="M16" i="537"/>
  <c r="D54" i="537"/>
  <c r="M54" i="537"/>
  <c r="H17" i="537"/>
  <c r="I17" i="537"/>
  <c r="J17" i="537"/>
  <c r="K17" i="537"/>
  <c r="L17" i="537"/>
  <c r="M17" i="537"/>
  <c r="M55" i="537"/>
  <c r="H18" i="537"/>
  <c r="I18" i="537"/>
  <c r="J18" i="537"/>
  <c r="K18" i="537"/>
  <c r="L18" i="537"/>
  <c r="M18" i="537"/>
  <c r="M56" i="537"/>
  <c r="M57" i="537"/>
  <c r="M58" i="537"/>
  <c r="M59" i="537"/>
  <c r="H20" i="537"/>
  <c r="I20" i="537"/>
  <c r="J20" i="537"/>
  <c r="K20" i="537"/>
  <c r="L20" i="537"/>
  <c r="M20" i="537"/>
  <c r="D60" i="537"/>
  <c r="E60" i="537"/>
  <c r="M60" i="537"/>
  <c r="M61" i="537"/>
  <c r="M62" i="537"/>
  <c r="H23" i="537"/>
  <c r="I23" i="537"/>
  <c r="J23" i="537"/>
  <c r="K23" i="537"/>
  <c r="L23" i="537"/>
  <c r="M23" i="537"/>
  <c r="M63" i="537"/>
  <c r="M69" i="537"/>
  <c r="M68" i="537"/>
  <c r="M72" i="537"/>
  <c r="M97" i="537"/>
  <c r="N45" i="537"/>
  <c r="N46" i="537"/>
  <c r="N9" i="537"/>
  <c r="N4" i="537"/>
  <c r="N110" i="537"/>
  <c r="N111" i="537"/>
  <c r="N112" i="537"/>
  <c r="N113" i="537"/>
  <c r="N47" i="537"/>
  <c r="N10" i="537"/>
  <c r="N48" i="537"/>
  <c r="N11" i="537"/>
  <c r="N49" i="537"/>
  <c r="N12" i="537"/>
  <c r="N50" i="537"/>
  <c r="N13" i="537"/>
  <c r="N51" i="537"/>
  <c r="N14" i="537"/>
  <c r="N52" i="537"/>
  <c r="N15" i="537"/>
  <c r="N53" i="537"/>
  <c r="N16" i="537"/>
  <c r="N54" i="537"/>
  <c r="N17" i="537"/>
  <c r="N55" i="537"/>
  <c r="N18" i="537"/>
  <c r="N56" i="537"/>
  <c r="N57" i="537"/>
  <c r="N58" i="537"/>
  <c r="N59" i="537"/>
  <c r="N20" i="537"/>
  <c r="N60" i="537"/>
  <c r="N61" i="537"/>
  <c r="N62" i="537"/>
  <c r="N23" i="537"/>
  <c r="N63" i="537"/>
  <c r="N69" i="537"/>
  <c r="N68" i="537"/>
  <c r="N72" i="537"/>
  <c r="N97" i="537"/>
  <c r="O45" i="537"/>
  <c r="O46" i="537"/>
  <c r="O9" i="537"/>
  <c r="O4" i="537"/>
  <c r="O110" i="537"/>
  <c r="O111" i="537"/>
  <c r="O112" i="537"/>
  <c r="O113" i="537"/>
  <c r="O47" i="537"/>
  <c r="O10" i="537"/>
  <c r="O48" i="537"/>
  <c r="O11" i="537"/>
  <c r="O49" i="537"/>
  <c r="O12" i="537"/>
  <c r="O50" i="537"/>
  <c r="O13" i="537"/>
  <c r="O51" i="537"/>
  <c r="O14" i="537"/>
  <c r="O52" i="537"/>
  <c r="O15" i="537"/>
  <c r="O53" i="537"/>
  <c r="O16" i="537"/>
  <c r="O54" i="537"/>
  <c r="O17" i="537"/>
  <c r="O55" i="537"/>
  <c r="O18" i="537"/>
  <c r="O56" i="537"/>
  <c r="O57" i="537"/>
  <c r="O58" i="537"/>
  <c r="O59" i="537"/>
  <c r="O20" i="537"/>
  <c r="O60" i="537"/>
  <c r="O61" i="537"/>
  <c r="O62" i="537"/>
  <c r="O23" i="537"/>
  <c r="O63" i="537"/>
  <c r="O69" i="537"/>
  <c r="O68" i="537"/>
  <c r="O72" i="537"/>
  <c r="O97" i="537"/>
  <c r="P45" i="537"/>
  <c r="P46" i="537"/>
  <c r="P9" i="537"/>
  <c r="P4" i="537"/>
  <c r="P6" i="537"/>
  <c r="P110" i="537"/>
  <c r="P111" i="537"/>
  <c r="P112" i="537"/>
  <c r="P113" i="537"/>
  <c r="P47" i="537"/>
  <c r="P10" i="537"/>
  <c r="P48" i="537"/>
  <c r="P11" i="537"/>
  <c r="P49" i="537"/>
  <c r="P12" i="537"/>
  <c r="P50" i="537"/>
  <c r="P13" i="537"/>
  <c r="P51" i="537"/>
  <c r="P14" i="537"/>
  <c r="P52" i="537"/>
  <c r="P15" i="537"/>
  <c r="P53" i="537"/>
  <c r="P16" i="537"/>
  <c r="P54" i="537"/>
  <c r="P17" i="537"/>
  <c r="P55" i="537"/>
  <c r="P18" i="537"/>
  <c r="P56" i="537"/>
  <c r="P57" i="537"/>
  <c r="P58" i="537"/>
  <c r="P59" i="537"/>
  <c r="P20" i="537"/>
  <c r="P60" i="537"/>
  <c r="P61" i="537"/>
  <c r="P62" i="537"/>
  <c r="P63" i="537"/>
  <c r="P69" i="537"/>
  <c r="H45" i="537"/>
  <c r="H46" i="537"/>
  <c r="H110" i="537"/>
  <c r="H111" i="537"/>
  <c r="H112" i="537"/>
  <c r="H113" i="537"/>
  <c r="H47" i="537"/>
  <c r="H49" i="537"/>
  <c r="H50" i="537"/>
  <c r="H51" i="537"/>
  <c r="H52" i="537"/>
  <c r="H53" i="537"/>
  <c r="H54" i="537"/>
  <c r="H55" i="537"/>
  <c r="H56" i="537"/>
  <c r="H57" i="537"/>
  <c r="H58" i="537"/>
  <c r="H59" i="537"/>
  <c r="H60" i="537"/>
  <c r="H61" i="537"/>
  <c r="H48" i="537"/>
  <c r="H62" i="537"/>
  <c r="H63" i="537"/>
  <c r="H69" i="537"/>
  <c r="H68" i="537"/>
  <c r="H72" i="537"/>
  <c r="H96" i="537"/>
  <c r="I45" i="537"/>
  <c r="I46" i="537"/>
  <c r="I110" i="537"/>
  <c r="I111" i="537"/>
  <c r="I112" i="537"/>
  <c r="I113" i="537"/>
  <c r="I47" i="537"/>
  <c r="I48" i="537"/>
  <c r="I49" i="537"/>
  <c r="I50" i="537"/>
  <c r="I51" i="537"/>
  <c r="I52" i="537"/>
  <c r="I53" i="537"/>
  <c r="I54" i="537"/>
  <c r="I55" i="537"/>
  <c r="I56" i="537"/>
  <c r="I57" i="537"/>
  <c r="I58" i="537"/>
  <c r="I59" i="537"/>
  <c r="I60" i="537"/>
  <c r="I61" i="537"/>
  <c r="I62" i="537"/>
  <c r="I63" i="537"/>
  <c r="I69" i="537"/>
  <c r="I68" i="537"/>
  <c r="I72" i="537"/>
  <c r="I96" i="537"/>
  <c r="J45" i="537"/>
  <c r="J46" i="537"/>
  <c r="J110" i="537"/>
  <c r="J111" i="537"/>
  <c r="J112" i="537"/>
  <c r="J113" i="537"/>
  <c r="J47" i="537"/>
  <c r="J48" i="537"/>
  <c r="J49" i="537"/>
  <c r="J50" i="537"/>
  <c r="J51" i="537"/>
  <c r="J52" i="537"/>
  <c r="J53" i="537"/>
  <c r="J54" i="537"/>
  <c r="J55" i="537"/>
  <c r="J56" i="537"/>
  <c r="J57" i="537"/>
  <c r="J58" i="537"/>
  <c r="J59" i="537"/>
  <c r="J60" i="537"/>
  <c r="J61" i="537"/>
  <c r="J62" i="537"/>
  <c r="J63" i="537"/>
  <c r="J69" i="537"/>
  <c r="J68" i="537"/>
  <c r="J72" i="537"/>
  <c r="J96" i="537"/>
  <c r="K45" i="537"/>
  <c r="K46" i="537"/>
  <c r="K110" i="537"/>
  <c r="K111" i="537"/>
  <c r="K112" i="537"/>
  <c r="K113" i="537"/>
  <c r="K47" i="537"/>
  <c r="K48" i="537"/>
  <c r="K49" i="537"/>
  <c r="K50" i="537"/>
  <c r="K51" i="537"/>
  <c r="K52" i="537"/>
  <c r="K53" i="537"/>
  <c r="K54" i="537"/>
  <c r="K55" i="537"/>
  <c r="K56" i="537"/>
  <c r="K57" i="537"/>
  <c r="K58" i="537"/>
  <c r="K59" i="537"/>
  <c r="K60" i="537"/>
  <c r="K61" i="537"/>
  <c r="K62" i="537"/>
  <c r="K63" i="537"/>
  <c r="K69" i="537"/>
  <c r="K68" i="537"/>
  <c r="K72" i="537"/>
  <c r="K96" i="537"/>
  <c r="G45" i="537"/>
  <c r="G46" i="537"/>
  <c r="G110" i="537"/>
  <c r="G111" i="537"/>
  <c r="G112" i="537"/>
  <c r="G113" i="537"/>
  <c r="G47" i="537"/>
  <c r="G48" i="537"/>
  <c r="G49" i="537"/>
  <c r="G50" i="537"/>
  <c r="G51" i="537"/>
  <c r="G52" i="537"/>
  <c r="G53" i="537"/>
  <c r="G54" i="537"/>
  <c r="G55" i="537"/>
  <c r="G56" i="537"/>
  <c r="G57" i="537"/>
  <c r="G58" i="537"/>
  <c r="G59" i="537"/>
  <c r="G60" i="537"/>
  <c r="G61" i="537"/>
  <c r="G62" i="537"/>
  <c r="G63" i="537"/>
  <c r="G68" i="537"/>
  <c r="G69" i="537"/>
  <c r="G72" i="537"/>
  <c r="G96" i="537"/>
  <c r="S96" i="537"/>
  <c r="P38" i="537"/>
  <c r="P72" i="537"/>
  <c r="P68" i="537"/>
  <c r="P97" i="537"/>
  <c r="Q45" i="537"/>
  <c r="Q46" i="537"/>
  <c r="Q9" i="537"/>
  <c r="Q4" i="537"/>
  <c r="Q6" i="537"/>
  <c r="Q110" i="537"/>
  <c r="Q111" i="537"/>
  <c r="Q112" i="537"/>
  <c r="Q113" i="537"/>
  <c r="Q47" i="537"/>
  <c r="Q10" i="537"/>
  <c r="Q48" i="537"/>
  <c r="Q11" i="537"/>
  <c r="Q49" i="537"/>
  <c r="Q12" i="537"/>
  <c r="Q50" i="537"/>
  <c r="Q13" i="537"/>
  <c r="Q51" i="537"/>
  <c r="Q14" i="537"/>
  <c r="Q52" i="537"/>
  <c r="Q15" i="537"/>
  <c r="Q53" i="537"/>
  <c r="Q16" i="537"/>
  <c r="Q54" i="537"/>
  <c r="Q17" i="537"/>
  <c r="Q55" i="537"/>
  <c r="Q18" i="537"/>
  <c r="Q56" i="537"/>
  <c r="Q57" i="537"/>
  <c r="Q58" i="537"/>
  <c r="Q59" i="537"/>
  <c r="Q20" i="537"/>
  <c r="Q60" i="537"/>
  <c r="Q61" i="537"/>
  <c r="Q62" i="537"/>
  <c r="Q24" i="537"/>
  <c r="Q63" i="537"/>
  <c r="Q69" i="537"/>
  <c r="Q72" i="537"/>
  <c r="Q68" i="537"/>
  <c r="Q97" i="537"/>
  <c r="R45" i="537"/>
  <c r="R46" i="537"/>
  <c r="R9" i="537"/>
  <c r="R4" i="537"/>
  <c r="R6" i="537"/>
  <c r="R110" i="537"/>
  <c r="R111" i="537"/>
  <c r="R112" i="537"/>
  <c r="R113" i="537"/>
  <c r="R47" i="537"/>
  <c r="R10" i="537"/>
  <c r="R48" i="537"/>
  <c r="R11" i="537"/>
  <c r="R49" i="537"/>
  <c r="R12" i="537"/>
  <c r="R50" i="537"/>
  <c r="R13" i="537"/>
  <c r="R51" i="537"/>
  <c r="R14" i="537"/>
  <c r="R52" i="537"/>
  <c r="R15" i="537"/>
  <c r="R53" i="537"/>
  <c r="R16" i="537"/>
  <c r="R54" i="537"/>
  <c r="R17" i="537"/>
  <c r="R55" i="537"/>
  <c r="R18" i="537"/>
  <c r="R56" i="537"/>
  <c r="R57" i="537"/>
  <c r="R58" i="537"/>
  <c r="R59" i="537"/>
  <c r="R20" i="537"/>
  <c r="R60" i="537"/>
  <c r="R61" i="537"/>
  <c r="R62" i="537"/>
  <c r="R24" i="537"/>
  <c r="R63" i="537"/>
  <c r="R69" i="537"/>
  <c r="R38" i="537"/>
  <c r="R72" i="537"/>
  <c r="R68" i="537"/>
  <c r="R97" i="537"/>
  <c r="M45" i="538"/>
  <c r="M46" i="538"/>
  <c r="H9" i="538"/>
  <c r="I9" i="538"/>
  <c r="J9" i="538"/>
  <c r="K9" i="538"/>
  <c r="L9" i="538"/>
  <c r="M9" i="538"/>
  <c r="H4" i="538"/>
  <c r="I4" i="538"/>
  <c r="J4" i="538"/>
  <c r="K4" i="538"/>
  <c r="L4" i="538"/>
  <c r="M4" i="538"/>
  <c r="M110" i="538"/>
  <c r="M111" i="538"/>
  <c r="M112" i="538"/>
  <c r="M113" i="538"/>
  <c r="M47" i="538"/>
  <c r="H10" i="538"/>
  <c r="I10" i="538"/>
  <c r="J10" i="538"/>
  <c r="K10" i="538"/>
  <c r="L10" i="538"/>
  <c r="M10" i="538"/>
  <c r="M48" i="538"/>
  <c r="H11" i="538"/>
  <c r="I11" i="538"/>
  <c r="J11" i="538"/>
  <c r="K11" i="538"/>
  <c r="L11" i="538"/>
  <c r="M11" i="538"/>
  <c r="D49" i="538"/>
  <c r="M49" i="538"/>
  <c r="H12" i="538"/>
  <c r="I12" i="538"/>
  <c r="J12" i="538"/>
  <c r="K12" i="538"/>
  <c r="L12" i="538"/>
  <c r="M12" i="538"/>
  <c r="D50" i="538"/>
  <c r="M50" i="538"/>
  <c r="H13" i="538"/>
  <c r="I13" i="538"/>
  <c r="J13" i="538"/>
  <c r="K13" i="538"/>
  <c r="L13" i="538"/>
  <c r="M13" i="538"/>
  <c r="D51" i="538"/>
  <c r="M51" i="538"/>
  <c r="H14" i="538"/>
  <c r="I14" i="538"/>
  <c r="J14" i="538"/>
  <c r="K14" i="538"/>
  <c r="L14" i="538"/>
  <c r="M14" i="538"/>
  <c r="D52" i="538"/>
  <c r="M52" i="538"/>
  <c r="H15" i="538"/>
  <c r="I15" i="538"/>
  <c r="J15" i="538"/>
  <c r="K15" i="538"/>
  <c r="L15" i="538"/>
  <c r="M15" i="538"/>
  <c r="D53" i="538"/>
  <c r="M53" i="538"/>
  <c r="H16" i="538"/>
  <c r="I16" i="538"/>
  <c r="J16" i="538"/>
  <c r="K16" i="538"/>
  <c r="L16" i="538"/>
  <c r="M16" i="538"/>
  <c r="D54" i="538"/>
  <c r="M54" i="538"/>
  <c r="H17" i="538"/>
  <c r="I17" i="538"/>
  <c r="J17" i="538"/>
  <c r="K17" i="538"/>
  <c r="L17" i="538"/>
  <c r="M17" i="538"/>
  <c r="M55" i="538"/>
  <c r="H18" i="538"/>
  <c r="I18" i="538"/>
  <c r="J18" i="538"/>
  <c r="K18" i="538"/>
  <c r="L18" i="538"/>
  <c r="M18" i="538"/>
  <c r="M56" i="538"/>
  <c r="M57" i="538"/>
  <c r="M58" i="538"/>
  <c r="M59" i="538"/>
  <c r="H20" i="538"/>
  <c r="I20" i="538"/>
  <c r="J20" i="538"/>
  <c r="K20" i="538"/>
  <c r="L20" i="538"/>
  <c r="M20" i="538"/>
  <c r="D60" i="538"/>
  <c r="E60" i="538"/>
  <c r="M60" i="538"/>
  <c r="M61" i="538"/>
  <c r="M62" i="538"/>
  <c r="H23" i="538"/>
  <c r="I23" i="538"/>
  <c r="J23" i="538"/>
  <c r="K23" i="538"/>
  <c r="L23" i="538"/>
  <c r="M23" i="538"/>
  <c r="M63" i="538"/>
  <c r="M69" i="538"/>
  <c r="M68" i="538"/>
  <c r="M72" i="538"/>
  <c r="M97" i="538"/>
  <c r="N45" i="538"/>
  <c r="N46" i="538"/>
  <c r="N9" i="538"/>
  <c r="N4" i="538"/>
  <c r="N110" i="538"/>
  <c r="N111" i="538"/>
  <c r="N112" i="538"/>
  <c r="N113" i="538"/>
  <c r="N47" i="538"/>
  <c r="N10" i="538"/>
  <c r="N48" i="538"/>
  <c r="N11" i="538"/>
  <c r="N49" i="538"/>
  <c r="N12" i="538"/>
  <c r="N50" i="538"/>
  <c r="N13" i="538"/>
  <c r="N51" i="538"/>
  <c r="N14" i="538"/>
  <c r="N52" i="538"/>
  <c r="N15" i="538"/>
  <c r="N53" i="538"/>
  <c r="N16" i="538"/>
  <c r="N54" i="538"/>
  <c r="N17" i="538"/>
  <c r="N55" i="538"/>
  <c r="N18" i="538"/>
  <c r="N56" i="538"/>
  <c r="N57" i="538"/>
  <c r="N58" i="538"/>
  <c r="N59" i="538"/>
  <c r="N20" i="538"/>
  <c r="N60" i="538"/>
  <c r="N61" i="538"/>
  <c r="N62" i="538"/>
  <c r="N23" i="538"/>
  <c r="N63" i="538"/>
  <c r="N69" i="538"/>
  <c r="N68" i="538"/>
  <c r="N72" i="538"/>
  <c r="N97" i="538"/>
  <c r="O45" i="538"/>
  <c r="O46" i="538"/>
  <c r="O9" i="538"/>
  <c r="O4" i="538"/>
  <c r="O110" i="538"/>
  <c r="O111" i="538"/>
  <c r="O112" i="538"/>
  <c r="O113" i="538"/>
  <c r="O47" i="538"/>
  <c r="O10" i="538"/>
  <c r="O48" i="538"/>
  <c r="O11" i="538"/>
  <c r="O49" i="538"/>
  <c r="O12" i="538"/>
  <c r="O50" i="538"/>
  <c r="O13" i="538"/>
  <c r="O51" i="538"/>
  <c r="O14" i="538"/>
  <c r="O52" i="538"/>
  <c r="O15" i="538"/>
  <c r="O53" i="538"/>
  <c r="O16" i="538"/>
  <c r="O54" i="538"/>
  <c r="O17" i="538"/>
  <c r="O55" i="538"/>
  <c r="O18" i="538"/>
  <c r="O56" i="538"/>
  <c r="O57" i="538"/>
  <c r="O58" i="538"/>
  <c r="O59" i="538"/>
  <c r="O20" i="538"/>
  <c r="O60" i="538"/>
  <c r="O61" i="538"/>
  <c r="O62" i="538"/>
  <c r="O23" i="538"/>
  <c r="O63" i="538"/>
  <c r="O69" i="538"/>
  <c r="O68" i="538"/>
  <c r="O72" i="538"/>
  <c r="O97" i="538"/>
  <c r="P45" i="538"/>
  <c r="P46" i="538"/>
  <c r="P9" i="538"/>
  <c r="P4" i="538"/>
  <c r="P6" i="538"/>
  <c r="P110" i="538"/>
  <c r="P111" i="538"/>
  <c r="P112" i="538"/>
  <c r="P113" i="538"/>
  <c r="P47" i="538"/>
  <c r="P10" i="538"/>
  <c r="P48" i="538"/>
  <c r="P11" i="538"/>
  <c r="P49" i="538"/>
  <c r="P12" i="538"/>
  <c r="P50" i="538"/>
  <c r="P13" i="538"/>
  <c r="P51" i="538"/>
  <c r="P14" i="538"/>
  <c r="P52" i="538"/>
  <c r="P15" i="538"/>
  <c r="P53" i="538"/>
  <c r="P16" i="538"/>
  <c r="P54" i="538"/>
  <c r="P17" i="538"/>
  <c r="P55" i="538"/>
  <c r="P18" i="538"/>
  <c r="P56" i="538"/>
  <c r="P57" i="538"/>
  <c r="P58" i="538"/>
  <c r="P59" i="538"/>
  <c r="P20" i="538"/>
  <c r="P60" i="538"/>
  <c r="P61" i="538"/>
  <c r="P62" i="538"/>
  <c r="P63" i="538"/>
  <c r="P69" i="538"/>
  <c r="H45" i="538"/>
  <c r="H46" i="538"/>
  <c r="H110" i="538"/>
  <c r="H111" i="538"/>
  <c r="H112" i="538"/>
  <c r="H113" i="538"/>
  <c r="H47" i="538"/>
  <c r="H49" i="538"/>
  <c r="H50" i="538"/>
  <c r="H51" i="538"/>
  <c r="H52" i="538"/>
  <c r="H53" i="538"/>
  <c r="H54" i="538"/>
  <c r="H55" i="538"/>
  <c r="H56" i="538"/>
  <c r="H57" i="538"/>
  <c r="H58" i="538"/>
  <c r="H59" i="538"/>
  <c r="H60" i="538"/>
  <c r="H61" i="538"/>
  <c r="H48" i="538"/>
  <c r="H62" i="538"/>
  <c r="H63" i="538"/>
  <c r="H69" i="538"/>
  <c r="H68" i="538"/>
  <c r="H72" i="538"/>
  <c r="H96" i="538"/>
  <c r="I45" i="538"/>
  <c r="I46" i="538"/>
  <c r="I110" i="538"/>
  <c r="I111" i="538"/>
  <c r="I112" i="538"/>
  <c r="I113" i="538"/>
  <c r="I47" i="538"/>
  <c r="I48" i="538"/>
  <c r="I49" i="538"/>
  <c r="I50" i="538"/>
  <c r="I51" i="538"/>
  <c r="I52" i="538"/>
  <c r="I53" i="538"/>
  <c r="I54" i="538"/>
  <c r="I55" i="538"/>
  <c r="I56" i="538"/>
  <c r="I57" i="538"/>
  <c r="I58" i="538"/>
  <c r="I59" i="538"/>
  <c r="I60" i="538"/>
  <c r="I61" i="538"/>
  <c r="I62" i="538"/>
  <c r="I63" i="538"/>
  <c r="I69" i="538"/>
  <c r="I68" i="538"/>
  <c r="I72" i="538"/>
  <c r="I96" i="538"/>
  <c r="J45" i="538"/>
  <c r="J46" i="538"/>
  <c r="J110" i="538"/>
  <c r="J111" i="538"/>
  <c r="J112" i="538"/>
  <c r="J113" i="538"/>
  <c r="J47" i="538"/>
  <c r="J48" i="538"/>
  <c r="J49" i="538"/>
  <c r="J50" i="538"/>
  <c r="J51" i="538"/>
  <c r="J52" i="538"/>
  <c r="J53" i="538"/>
  <c r="J54" i="538"/>
  <c r="J55" i="538"/>
  <c r="J56" i="538"/>
  <c r="J57" i="538"/>
  <c r="J58" i="538"/>
  <c r="J59" i="538"/>
  <c r="J60" i="538"/>
  <c r="J61" i="538"/>
  <c r="J62" i="538"/>
  <c r="J63" i="538"/>
  <c r="J69" i="538"/>
  <c r="J68" i="538"/>
  <c r="J72" i="538"/>
  <c r="J96" i="538"/>
  <c r="K45" i="538"/>
  <c r="K46" i="538"/>
  <c r="K110" i="538"/>
  <c r="K111" i="538"/>
  <c r="K112" i="538"/>
  <c r="K113" i="538"/>
  <c r="K47" i="538"/>
  <c r="K48" i="538"/>
  <c r="K49" i="538"/>
  <c r="K50" i="538"/>
  <c r="K51" i="538"/>
  <c r="K52" i="538"/>
  <c r="K53" i="538"/>
  <c r="K54" i="538"/>
  <c r="K55" i="538"/>
  <c r="K56" i="538"/>
  <c r="K57" i="538"/>
  <c r="K58" i="538"/>
  <c r="K59" i="538"/>
  <c r="K60" i="538"/>
  <c r="K61" i="538"/>
  <c r="K62" i="538"/>
  <c r="K63" i="538"/>
  <c r="K69" i="538"/>
  <c r="K68" i="538"/>
  <c r="K72" i="538"/>
  <c r="K96" i="538"/>
  <c r="G45" i="538"/>
  <c r="G46" i="538"/>
  <c r="G110" i="538"/>
  <c r="G111" i="538"/>
  <c r="G112" i="538"/>
  <c r="G113" i="538"/>
  <c r="G47" i="538"/>
  <c r="G48" i="538"/>
  <c r="G49" i="538"/>
  <c r="G50" i="538"/>
  <c r="G51" i="538"/>
  <c r="G52" i="538"/>
  <c r="G53" i="538"/>
  <c r="G54" i="538"/>
  <c r="G55" i="538"/>
  <c r="G56" i="538"/>
  <c r="G57" i="538"/>
  <c r="G58" i="538"/>
  <c r="G59" i="538"/>
  <c r="G60" i="538"/>
  <c r="G61" i="538"/>
  <c r="G62" i="538"/>
  <c r="G63" i="538"/>
  <c r="G68" i="538"/>
  <c r="G69" i="538"/>
  <c r="G72" i="538"/>
  <c r="G96" i="538"/>
  <c r="S96" i="538"/>
  <c r="P38" i="538"/>
  <c r="P72" i="538"/>
  <c r="P68" i="538"/>
  <c r="P97" i="538"/>
  <c r="Q45" i="538"/>
  <c r="Q46" i="538"/>
  <c r="Q9" i="538"/>
  <c r="Q4" i="538"/>
  <c r="Q6" i="538"/>
  <c r="Q110" i="538"/>
  <c r="Q111" i="538"/>
  <c r="Q112" i="538"/>
  <c r="Q113" i="538"/>
  <c r="Q47" i="538"/>
  <c r="Q10" i="538"/>
  <c r="Q48" i="538"/>
  <c r="Q11" i="538"/>
  <c r="Q49" i="538"/>
  <c r="Q12" i="538"/>
  <c r="Q50" i="538"/>
  <c r="Q13" i="538"/>
  <c r="Q51" i="538"/>
  <c r="Q14" i="538"/>
  <c r="Q52" i="538"/>
  <c r="Q15" i="538"/>
  <c r="Q53" i="538"/>
  <c r="Q16" i="538"/>
  <c r="Q54" i="538"/>
  <c r="Q17" i="538"/>
  <c r="Q55" i="538"/>
  <c r="Q18" i="538"/>
  <c r="Q56" i="538"/>
  <c r="Q57" i="538"/>
  <c r="Q58" i="538"/>
  <c r="Q59" i="538"/>
  <c r="Q20" i="538"/>
  <c r="Q60" i="538"/>
  <c r="Q61" i="538"/>
  <c r="Q62" i="538"/>
  <c r="Q24" i="538"/>
  <c r="Q63" i="538"/>
  <c r="Q69" i="538"/>
  <c r="Q72" i="538"/>
  <c r="Q68" i="538"/>
  <c r="Q97" i="538"/>
  <c r="R45" i="538"/>
  <c r="R46" i="538"/>
  <c r="R9" i="538"/>
  <c r="R4" i="538"/>
  <c r="R6" i="538"/>
  <c r="R110" i="538"/>
  <c r="R111" i="538"/>
  <c r="R112" i="538"/>
  <c r="R113" i="538"/>
  <c r="R47" i="538"/>
  <c r="R10" i="538"/>
  <c r="R48" i="538"/>
  <c r="R11" i="538"/>
  <c r="R49" i="538"/>
  <c r="R12" i="538"/>
  <c r="R50" i="538"/>
  <c r="R13" i="538"/>
  <c r="R51" i="538"/>
  <c r="R14" i="538"/>
  <c r="R52" i="538"/>
  <c r="R15" i="538"/>
  <c r="R53" i="538"/>
  <c r="R16" i="538"/>
  <c r="R54" i="538"/>
  <c r="R17" i="538"/>
  <c r="R55" i="538"/>
  <c r="R18" i="538"/>
  <c r="R56" i="538"/>
  <c r="R57" i="538"/>
  <c r="R58" i="538"/>
  <c r="R59" i="538"/>
  <c r="R20" i="538"/>
  <c r="R60" i="538"/>
  <c r="R61" i="538"/>
  <c r="R62" i="538"/>
  <c r="R24" i="538"/>
  <c r="R63" i="538"/>
  <c r="R69" i="538"/>
  <c r="R38" i="538"/>
  <c r="R72" i="538"/>
  <c r="R68" i="538"/>
  <c r="R97" i="538"/>
  <c r="M45" i="539"/>
  <c r="M46" i="539"/>
  <c r="H9" i="539"/>
  <c r="I9" i="539"/>
  <c r="J9" i="539"/>
  <c r="K9" i="539"/>
  <c r="L9" i="539"/>
  <c r="M9" i="539"/>
  <c r="H4" i="539"/>
  <c r="I4" i="539"/>
  <c r="J4" i="539"/>
  <c r="K4" i="539"/>
  <c r="L4" i="539"/>
  <c r="M4" i="539"/>
  <c r="M110" i="539"/>
  <c r="M111" i="539"/>
  <c r="M112" i="539"/>
  <c r="M113" i="539"/>
  <c r="M47" i="539"/>
  <c r="H10" i="539"/>
  <c r="I10" i="539"/>
  <c r="J10" i="539"/>
  <c r="K10" i="539"/>
  <c r="L10" i="539"/>
  <c r="M10" i="539"/>
  <c r="M48" i="539"/>
  <c r="H11" i="539"/>
  <c r="I11" i="539"/>
  <c r="J11" i="539"/>
  <c r="K11" i="539"/>
  <c r="L11" i="539"/>
  <c r="M11" i="539"/>
  <c r="D49" i="539"/>
  <c r="M49" i="539"/>
  <c r="H12" i="539"/>
  <c r="I12" i="539"/>
  <c r="J12" i="539"/>
  <c r="K12" i="539"/>
  <c r="L12" i="539"/>
  <c r="M12" i="539"/>
  <c r="D50" i="539"/>
  <c r="M50" i="539"/>
  <c r="H13" i="539"/>
  <c r="I13" i="539"/>
  <c r="J13" i="539"/>
  <c r="K13" i="539"/>
  <c r="L13" i="539"/>
  <c r="M13" i="539"/>
  <c r="D51" i="539"/>
  <c r="M51" i="539"/>
  <c r="H14" i="539"/>
  <c r="I14" i="539"/>
  <c r="J14" i="539"/>
  <c r="K14" i="539"/>
  <c r="L14" i="539"/>
  <c r="M14" i="539"/>
  <c r="D52" i="539"/>
  <c r="M52" i="539"/>
  <c r="H15" i="539"/>
  <c r="I15" i="539"/>
  <c r="J15" i="539"/>
  <c r="K15" i="539"/>
  <c r="L15" i="539"/>
  <c r="M15" i="539"/>
  <c r="D53" i="539"/>
  <c r="M53" i="539"/>
  <c r="H16" i="539"/>
  <c r="I16" i="539"/>
  <c r="J16" i="539"/>
  <c r="K16" i="539"/>
  <c r="L16" i="539"/>
  <c r="M16" i="539"/>
  <c r="D54" i="539"/>
  <c r="M54" i="539"/>
  <c r="H17" i="539"/>
  <c r="I17" i="539"/>
  <c r="J17" i="539"/>
  <c r="K17" i="539"/>
  <c r="L17" i="539"/>
  <c r="M17" i="539"/>
  <c r="M55" i="539"/>
  <c r="H18" i="539"/>
  <c r="I18" i="539"/>
  <c r="J18" i="539"/>
  <c r="K18" i="539"/>
  <c r="L18" i="539"/>
  <c r="M18" i="539"/>
  <c r="M56" i="539"/>
  <c r="M57" i="539"/>
  <c r="M58" i="539"/>
  <c r="M59" i="539"/>
  <c r="H20" i="539"/>
  <c r="I20" i="539"/>
  <c r="J20" i="539"/>
  <c r="K20" i="539"/>
  <c r="L20" i="539"/>
  <c r="M20" i="539"/>
  <c r="D60" i="539"/>
  <c r="E60" i="539"/>
  <c r="M60" i="539"/>
  <c r="M61" i="539"/>
  <c r="M62" i="539"/>
  <c r="H23" i="539"/>
  <c r="I23" i="539"/>
  <c r="J23" i="539"/>
  <c r="K23" i="539"/>
  <c r="L23" i="539"/>
  <c r="M23" i="539"/>
  <c r="M63" i="539"/>
  <c r="M69" i="539"/>
  <c r="M68" i="539"/>
  <c r="M72" i="539"/>
  <c r="M97" i="539"/>
  <c r="N45" i="539"/>
  <c r="N46" i="539"/>
  <c r="N9" i="539"/>
  <c r="N4" i="539"/>
  <c r="N110" i="539"/>
  <c r="N111" i="539"/>
  <c r="N112" i="539"/>
  <c r="N113" i="539"/>
  <c r="N47" i="539"/>
  <c r="N10" i="539"/>
  <c r="N48" i="539"/>
  <c r="N11" i="539"/>
  <c r="N49" i="539"/>
  <c r="N12" i="539"/>
  <c r="N50" i="539"/>
  <c r="N13" i="539"/>
  <c r="N51" i="539"/>
  <c r="N14" i="539"/>
  <c r="N52" i="539"/>
  <c r="N15" i="539"/>
  <c r="N53" i="539"/>
  <c r="N16" i="539"/>
  <c r="N54" i="539"/>
  <c r="N17" i="539"/>
  <c r="N55" i="539"/>
  <c r="N18" i="539"/>
  <c r="N56" i="539"/>
  <c r="N57" i="539"/>
  <c r="N58" i="539"/>
  <c r="N59" i="539"/>
  <c r="N20" i="539"/>
  <c r="N60" i="539"/>
  <c r="N61" i="539"/>
  <c r="N62" i="539"/>
  <c r="N23" i="539"/>
  <c r="N63" i="539"/>
  <c r="N69" i="539"/>
  <c r="N68" i="539"/>
  <c r="N72" i="539"/>
  <c r="N97" i="539"/>
  <c r="O45" i="539"/>
  <c r="O46" i="539"/>
  <c r="O9" i="539"/>
  <c r="O4" i="539"/>
  <c r="O110" i="539"/>
  <c r="O111" i="539"/>
  <c r="O112" i="539"/>
  <c r="O113" i="539"/>
  <c r="O47" i="539"/>
  <c r="O10" i="539"/>
  <c r="O48" i="539"/>
  <c r="O11" i="539"/>
  <c r="O49" i="539"/>
  <c r="O12" i="539"/>
  <c r="O50" i="539"/>
  <c r="O13" i="539"/>
  <c r="O51" i="539"/>
  <c r="O14" i="539"/>
  <c r="O52" i="539"/>
  <c r="O15" i="539"/>
  <c r="O53" i="539"/>
  <c r="O16" i="539"/>
  <c r="O54" i="539"/>
  <c r="O17" i="539"/>
  <c r="O55" i="539"/>
  <c r="O18" i="539"/>
  <c r="O56" i="539"/>
  <c r="O57" i="539"/>
  <c r="O58" i="539"/>
  <c r="O59" i="539"/>
  <c r="O20" i="539"/>
  <c r="O60" i="539"/>
  <c r="O61" i="539"/>
  <c r="O62" i="539"/>
  <c r="O23" i="539"/>
  <c r="O63" i="539"/>
  <c r="O69" i="539"/>
  <c r="O68" i="539"/>
  <c r="O72" i="539"/>
  <c r="O97" i="539"/>
  <c r="P45" i="539"/>
  <c r="P46" i="539"/>
  <c r="P9" i="539"/>
  <c r="P4" i="539"/>
  <c r="P6" i="539"/>
  <c r="P110" i="539"/>
  <c r="P111" i="539"/>
  <c r="P112" i="539"/>
  <c r="P113" i="539"/>
  <c r="P47" i="539"/>
  <c r="P10" i="539"/>
  <c r="P48" i="539"/>
  <c r="P11" i="539"/>
  <c r="P49" i="539"/>
  <c r="P12" i="539"/>
  <c r="P50" i="539"/>
  <c r="P13" i="539"/>
  <c r="P51" i="539"/>
  <c r="P14" i="539"/>
  <c r="P52" i="539"/>
  <c r="P15" i="539"/>
  <c r="P53" i="539"/>
  <c r="P16" i="539"/>
  <c r="P54" i="539"/>
  <c r="P17" i="539"/>
  <c r="P55" i="539"/>
  <c r="P18" i="539"/>
  <c r="P56" i="539"/>
  <c r="P57" i="539"/>
  <c r="P58" i="539"/>
  <c r="P59" i="539"/>
  <c r="P20" i="539"/>
  <c r="P60" i="539"/>
  <c r="P61" i="539"/>
  <c r="P62" i="539"/>
  <c r="P63" i="539"/>
  <c r="P69" i="539"/>
  <c r="H45" i="539"/>
  <c r="H46" i="539"/>
  <c r="H110" i="539"/>
  <c r="H111" i="539"/>
  <c r="H112" i="539"/>
  <c r="H113" i="539"/>
  <c r="H47" i="539"/>
  <c r="H49" i="539"/>
  <c r="H50" i="539"/>
  <c r="H51" i="539"/>
  <c r="H52" i="539"/>
  <c r="H53" i="539"/>
  <c r="H54" i="539"/>
  <c r="H55" i="539"/>
  <c r="H56" i="539"/>
  <c r="H57" i="539"/>
  <c r="H58" i="539"/>
  <c r="H59" i="539"/>
  <c r="H60" i="539"/>
  <c r="H61" i="539"/>
  <c r="H48" i="539"/>
  <c r="H62" i="539"/>
  <c r="H63" i="539"/>
  <c r="H69" i="539"/>
  <c r="H68" i="539"/>
  <c r="H72" i="539"/>
  <c r="H96" i="539"/>
  <c r="I45" i="539"/>
  <c r="I46" i="539"/>
  <c r="I110" i="539"/>
  <c r="I111" i="539"/>
  <c r="I112" i="539"/>
  <c r="I113" i="539"/>
  <c r="I47" i="539"/>
  <c r="I48" i="539"/>
  <c r="I49" i="539"/>
  <c r="I50" i="539"/>
  <c r="I51" i="539"/>
  <c r="I52" i="539"/>
  <c r="I53" i="539"/>
  <c r="I54" i="539"/>
  <c r="I55" i="539"/>
  <c r="I56" i="539"/>
  <c r="I57" i="539"/>
  <c r="I58" i="539"/>
  <c r="I59" i="539"/>
  <c r="I60" i="539"/>
  <c r="I61" i="539"/>
  <c r="I62" i="539"/>
  <c r="I63" i="539"/>
  <c r="I69" i="539"/>
  <c r="I68" i="539"/>
  <c r="I72" i="539"/>
  <c r="I96" i="539"/>
  <c r="J45" i="539"/>
  <c r="J46" i="539"/>
  <c r="J110" i="539"/>
  <c r="J111" i="539"/>
  <c r="J112" i="539"/>
  <c r="J113" i="539"/>
  <c r="J47" i="539"/>
  <c r="J48" i="539"/>
  <c r="J49" i="539"/>
  <c r="J50" i="539"/>
  <c r="J51" i="539"/>
  <c r="J52" i="539"/>
  <c r="J53" i="539"/>
  <c r="J54" i="539"/>
  <c r="J55" i="539"/>
  <c r="J56" i="539"/>
  <c r="J57" i="539"/>
  <c r="J58" i="539"/>
  <c r="J59" i="539"/>
  <c r="J60" i="539"/>
  <c r="J61" i="539"/>
  <c r="J62" i="539"/>
  <c r="J63" i="539"/>
  <c r="J69" i="539"/>
  <c r="J68" i="539"/>
  <c r="J72" i="539"/>
  <c r="J96" i="539"/>
  <c r="K45" i="539"/>
  <c r="K46" i="539"/>
  <c r="K110" i="539"/>
  <c r="K111" i="539"/>
  <c r="K112" i="539"/>
  <c r="K113" i="539"/>
  <c r="K47" i="539"/>
  <c r="K48" i="539"/>
  <c r="K49" i="539"/>
  <c r="K50" i="539"/>
  <c r="K51" i="539"/>
  <c r="K52" i="539"/>
  <c r="K53" i="539"/>
  <c r="K54" i="539"/>
  <c r="K55" i="539"/>
  <c r="K56" i="539"/>
  <c r="K57" i="539"/>
  <c r="K58" i="539"/>
  <c r="K59" i="539"/>
  <c r="K60" i="539"/>
  <c r="K61" i="539"/>
  <c r="K62" i="539"/>
  <c r="K63" i="539"/>
  <c r="K69" i="539"/>
  <c r="K68" i="539"/>
  <c r="K72" i="539"/>
  <c r="K96" i="539"/>
  <c r="G45" i="539"/>
  <c r="G46" i="539"/>
  <c r="G110" i="539"/>
  <c r="G111" i="539"/>
  <c r="G112" i="539"/>
  <c r="G113" i="539"/>
  <c r="G47" i="539"/>
  <c r="G48" i="539"/>
  <c r="G49" i="539"/>
  <c r="G50" i="539"/>
  <c r="G51" i="539"/>
  <c r="G52" i="539"/>
  <c r="G53" i="539"/>
  <c r="G54" i="539"/>
  <c r="G55" i="539"/>
  <c r="G56" i="539"/>
  <c r="G57" i="539"/>
  <c r="G58" i="539"/>
  <c r="G59" i="539"/>
  <c r="G60" i="539"/>
  <c r="G61" i="539"/>
  <c r="G62" i="539"/>
  <c r="G63" i="539"/>
  <c r="G68" i="539"/>
  <c r="G69" i="539"/>
  <c r="G72" i="539"/>
  <c r="G96" i="539"/>
  <c r="S96" i="539"/>
  <c r="P38" i="539"/>
  <c r="P72" i="539"/>
  <c r="P68" i="539"/>
  <c r="P97" i="539"/>
  <c r="Q45" i="539"/>
  <c r="Q46" i="539"/>
  <c r="Q9" i="539"/>
  <c r="Q4" i="539"/>
  <c r="Q6" i="539"/>
  <c r="Q110" i="539"/>
  <c r="Q111" i="539"/>
  <c r="Q112" i="539"/>
  <c r="Q113" i="539"/>
  <c r="Q47" i="539"/>
  <c r="Q10" i="539"/>
  <c r="Q48" i="539"/>
  <c r="Q11" i="539"/>
  <c r="Q49" i="539"/>
  <c r="Q12" i="539"/>
  <c r="Q50" i="539"/>
  <c r="Q13" i="539"/>
  <c r="Q51" i="539"/>
  <c r="Q14" i="539"/>
  <c r="Q52" i="539"/>
  <c r="Q15" i="539"/>
  <c r="Q53" i="539"/>
  <c r="Q16" i="539"/>
  <c r="Q54" i="539"/>
  <c r="Q17" i="539"/>
  <c r="Q55" i="539"/>
  <c r="Q18" i="539"/>
  <c r="Q56" i="539"/>
  <c r="Q57" i="539"/>
  <c r="Q58" i="539"/>
  <c r="Q59" i="539"/>
  <c r="Q20" i="539"/>
  <c r="Q60" i="539"/>
  <c r="Q61" i="539"/>
  <c r="Q62" i="539"/>
  <c r="Q24" i="539"/>
  <c r="Q63" i="539"/>
  <c r="Q69" i="539"/>
  <c r="Q72" i="539"/>
  <c r="Q68" i="539"/>
  <c r="Q97" i="539"/>
  <c r="R45" i="539"/>
  <c r="R46" i="539"/>
  <c r="R9" i="539"/>
  <c r="R4" i="539"/>
  <c r="R6" i="539"/>
  <c r="R110" i="539"/>
  <c r="R111" i="539"/>
  <c r="R112" i="539"/>
  <c r="R113" i="539"/>
  <c r="R47" i="539"/>
  <c r="R10" i="539"/>
  <c r="R48" i="539"/>
  <c r="R11" i="539"/>
  <c r="R49" i="539"/>
  <c r="R12" i="539"/>
  <c r="R50" i="539"/>
  <c r="R13" i="539"/>
  <c r="R51" i="539"/>
  <c r="R14" i="539"/>
  <c r="R52" i="539"/>
  <c r="R15" i="539"/>
  <c r="R53" i="539"/>
  <c r="R16" i="539"/>
  <c r="R54" i="539"/>
  <c r="R17" i="539"/>
  <c r="R55" i="539"/>
  <c r="R18" i="539"/>
  <c r="R56" i="539"/>
  <c r="R57" i="539"/>
  <c r="R58" i="539"/>
  <c r="R59" i="539"/>
  <c r="R20" i="539"/>
  <c r="R60" i="539"/>
  <c r="R61" i="539"/>
  <c r="R62" i="539"/>
  <c r="R24" i="539"/>
  <c r="R63" i="539"/>
  <c r="R69" i="539"/>
  <c r="R38" i="539"/>
  <c r="R72" i="539"/>
  <c r="R68" i="539"/>
  <c r="R97" i="539"/>
  <c r="M45" i="540"/>
  <c r="M46" i="540"/>
  <c r="H9" i="540"/>
  <c r="I9" i="540"/>
  <c r="J9" i="540"/>
  <c r="K9" i="540"/>
  <c r="L9" i="540"/>
  <c r="M9" i="540"/>
  <c r="H4" i="540"/>
  <c r="I4" i="540"/>
  <c r="J4" i="540"/>
  <c r="K4" i="540"/>
  <c r="L4" i="540"/>
  <c r="M4" i="540"/>
  <c r="M110" i="540"/>
  <c r="M111" i="540"/>
  <c r="M112" i="540"/>
  <c r="M113" i="540"/>
  <c r="M47" i="540"/>
  <c r="H10" i="540"/>
  <c r="I10" i="540"/>
  <c r="J10" i="540"/>
  <c r="K10" i="540"/>
  <c r="L10" i="540"/>
  <c r="M10" i="540"/>
  <c r="M48" i="540"/>
  <c r="H11" i="540"/>
  <c r="I11" i="540"/>
  <c r="J11" i="540"/>
  <c r="K11" i="540"/>
  <c r="L11" i="540"/>
  <c r="M11" i="540"/>
  <c r="D49" i="540"/>
  <c r="M49" i="540"/>
  <c r="H12" i="540"/>
  <c r="I12" i="540"/>
  <c r="J12" i="540"/>
  <c r="K12" i="540"/>
  <c r="L12" i="540"/>
  <c r="M12" i="540"/>
  <c r="D50" i="540"/>
  <c r="M50" i="540"/>
  <c r="H13" i="540"/>
  <c r="I13" i="540"/>
  <c r="J13" i="540"/>
  <c r="K13" i="540"/>
  <c r="L13" i="540"/>
  <c r="M13" i="540"/>
  <c r="D51" i="540"/>
  <c r="M51" i="540"/>
  <c r="H14" i="540"/>
  <c r="I14" i="540"/>
  <c r="J14" i="540"/>
  <c r="K14" i="540"/>
  <c r="L14" i="540"/>
  <c r="M14" i="540"/>
  <c r="D52" i="540"/>
  <c r="M52" i="540"/>
  <c r="H15" i="540"/>
  <c r="I15" i="540"/>
  <c r="J15" i="540"/>
  <c r="K15" i="540"/>
  <c r="L15" i="540"/>
  <c r="M15" i="540"/>
  <c r="D53" i="540"/>
  <c r="M53" i="540"/>
  <c r="H16" i="540"/>
  <c r="I16" i="540"/>
  <c r="J16" i="540"/>
  <c r="K16" i="540"/>
  <c r="L16" i="540"/>
  <c r="M16" i="540"/>
  <c r="D54" i="540"/>
  <c r="M54" i="540"/>
  <c r="H17" i="540"/>
  <c r="I17" i="540"/>
  <c r="J17" i="540"/>
  <c r="K17" i="540"/>
  <c r="L17" i="540"/>
  <c r="M17" i="540"/>
  <c r="M55" i="540"/>
  <c r="H18" i="540"/>
  <c r="I18" i="540"/>
  <c r="J18" i="540"/>
  <c r="K18" i="540"/>
  <c r="L18" i="540"/>
  <c r="M18" i="540"/>
  <c r="M56" i="540"/>
  <c r="M57" i="540"/>
  <c r="M58" i="540"/>
  <c r="M59" i="540"/>
  <c r="H20" i="540"/>
  <c r="I20" i="540"/>
  <c r="J20" i="540"/>
  <c r="K20" i="540"/>
  <c r="L20" i="540"/>
  <c r="M20" i="540"/>
  <c r="D60" i="540"/>
  <c r="E60" i="540"/>
  <c r="M60" i="540"/>
  <c r="M61" i="540"/>
  <c r="M62" i="540"/>
  <c r="H23" i="540"/>
  <c r="I23" i="540"/>
  <c r="J23" i="540"/>
  <c r="K23" i="540"/>
  <c r="L23" i="540"/>
  <c r="M23" i="540"/>
  <c r="M63" i="540"/>
  <c r="M69" i="540"/>
  <c r="M68" i="540"/>
  <c r="M72" i="540"/>
  <c r="M97" i="540"/>
  <c r="N45" i="540"/>
  <c r="N46" i="540"/>
  <c r="N9" i="540"/>
  <c r="N4" i="540"/>
  <c r="N110" i="540"/>
  <c r="N111" i="540"/>
  <c r="N112" i="540"/>
  <c r="N113" i="540"/>
  <c r="N47" i="540"/>
  <c r="N10" i="540"/>
  <c r="N48" i="540"/>
  <c r="N11" i="540"/>
  <c r="N49" i="540"/>
  <c r="N12" i="540"/>
  <c r="N50" i="540"/>
  <c r="N13" i="540"/>
  <c r="N51" i="540"/>
  <c r="N14" i="540"/>
  <c r="N52" i="540"/>
  <c r="N15" i="540"/>
  <c r="N53" i="540"/>
  <c r="N16" i="540"/>
  <c r="N54" i="540"/>
  <c r="N17" i="540"/>
  <c r="N55" i="540"/>
  <c r="N18" i="540"/>
  <c r="N56" i="540"/>
  <c r="N57" i="540"/>
  <c r="N58" i="540"/>
  <c r="N59" i="540"/>
  <c r="N20" i="540"/>
  <c r="N60" i="540"/>
  <c r="N61" i="540"/>
  <c r="N62" i="540"/>
  <c r="N23" i="540"/>
  <c r="N63" i="540"/>
  <c r="N69" i="540"/>
  <c r="N68" i="540"/>
  <c r="N72" i="540"/>
  <c r="N97" i="540"/>
  <c r="O45" i="540"/>
  <c r="O46" i="540"/>
  <c r="O9" i="540"/>
  <c r="O4" i="540"/>
  <c r="O110" i="540"/>
  <c r="O111" i="540"/>
  <c r="O112" i="540"/>
  <c r="O113" i="540"/>
  <c r="O47" i="540"/>
  <c r="O10" i="540"/>
  <c r="O48" i="540"/>
  <c r="O11" i="540"/>
  <c r="O49" i="540"/>
  <c r="O12" i="540"/>
  <c r="O50" i="540"/>
  <c r="O13" i="540"/>
  <c r="O51" i="540"/>
  <c r="O14" i="540"/>
  <c r="O52" i="540"/>
  <c r="O15" i="540"/>
  <c r="O53" i="540"/>
  <c r="O16" i="540"/>
  <c r="O54" i="540"/>
  <c r="O17" i="540"/>
  <c r="O55" i="540"/>
  <c r="O18" i="540"/>
  <c r="O56" i="540"/>
  <c r="O57" i="540"/>
  <c r="O58" i="540"/>
  <c r="O59" i="540"/>
  <c r="O20" i="540"/>
  <c r="O60" i="540"/>
  <c r="O61" i="540"/>
  <c r="O62" i="540"/>
  <c r="O23" i="540"/>
  <c r="O63" i="540"/>
  <c r="O69" i="540"/>
  <c r="O68" i="540"/>
  <c r="O72" i="540"/>
  <c r="O97" i="540"/>
  <c r="P45" i="540"/>
  <c r="P46" i="540"/>
  <c r="P9" i="540"/>
  <c r="P4" i="540"/>
  <c r="P6" i="540"/>
  <c r="P110" i="540"/>
  <c r="P111" i="540"/>
  <c r="P112" i="540"/>
  <c r="P113" i="540"/>
  <c r="P47" i="540"/>
  <c r="P10" i="540"/>
  <c r="P48" i="540"/>
  <c r="P11" i="540"/>
  <c r="P49" i="540"/>
  <c r="P12" i="540"/>
  <c r="P50" i="540"/>
  <c r="P13" i="540"/>
  <c r="P51" i="540"/>
  <c r="P14" i="540"/>
  <c r="P52" i="540"/>
  <c r="P15" i="540"/>
  <c r="P53" i="540"/>
  <c r="P16" i="540"/>
  <c r="P54" i="540"/>
  <c r="P17" i="540"/>
  <c r="P55" i="540"/>
  <c r="P18" i="540"/>
  <c r="P56" i="540"/>
  <c r="P57" i="540"/>
  <c r="P58" i="540"/>
  <c r="P59" i="540"/>
  <c r="P20" i="540"/>
  <c r="P60" i="540"/>
  <c r="P61" i="540"/>
  <c r="P62" i="540"/>
  <c r="P63" i="540"/>
  <c r="P69" i="540"/>
  <c r="H45" i="540"/>
  <c r="H46" i="540"/>
  <c r="H110" i="540"/>
  <c r="H111" i="540"/>
  <c r="H112" i="540"/>
  <c r="H113" i="540"/>
  <c r="H47" i="540"/>
  <c r="H49" i="540"/>
  <c r="H50" i="540"/>
  <c r="H51" i="540"/>
  <c r="H52" i="540"/>
  <c r="H53" i="540"/>
  <c r="H54" i="540"/>
  <c r="H55" i="540"/>
  <c r="H56" i="540"/>
  <c r="H57" i="540"/>
  <c r="H58" i="540"/>
  <c r="H59" i="540"/>
  <c r="H60" i="540"/>
  <c r="H61" i="540"/>
  <c r="H48" i="540"/>
  <c r="H62" i="540"/>
  <c r="H63" i="540"/>
  <c r="H69" i="540"/>
  <c r="H68" i="540"/>
  <c r="H72" i="540"/>
  <c r="H96" i="540"/>
  <c r="I45" i="540"/>
  <c r="I46" i="540"/>
  <c r="I110" i="540"/>
  <c r="I111" i="540"/>
  <c r="I112" i="540"/>
  <c r="I113" i="540"/>
  <c r="I47" i="540"/>
  <c r="I48" i="540"/>
  <c r="I49" i="540"/>
  <c r="I50" i="540"/>
  <c r="I51" i="540"/>
  <c r="I52" i="540"/>
  <c r="I53" i="540"/>
  <c r="I54" i="540"/>
  <c r="I55" i="540"/>
  <c r="I56" i="540"/>
  <c r="I57" i="540"/>
  <c r="I58" i="540"/>
  <c r="I59" i="540"/>
  <c r="I60" i="540"/>
  <c r="I61" i="540"/>
  <c r="I62" i="540"/>
  <c r="I63" i="540"/>
  <c r="I69" i="540"/>
  <c r="I68" i="540"/>
  <c r="I72" i="540"/>
  <c r="I96" i="540"/>
  <c r="J45" i="540"/>
  <c r="J46" i="540"/>
  <c r="J110" i="540"/>
  <c r="J111" i="540"/>
  <c r="J112" i="540"/>
  <c r="J113" i="540"/>
  <c r="J47" i="540"/>
  <c r="J48" i="540"/>
  <c r="J49" i="540"/>
  <c r="J50" i="540"/>
  <c r="J51" i="540"/>
  <c r="J52" i="540"/>
  <c r="J53" i="540"/>
  <c r="J54" i="540"/>
  <c r="J55" i="540"/>
  <c r="J56" i="540"/>
  <c r="J57" i="540"/>
  <c r="J58" i="540"/>
  <c r="J59" i="540"/>
  <c r="J60" i="540"/>
  <c r="J61" i="540"/>
  <c r="J62" i="540"/>
  <c r="J63" i="540"/>
  <c r="J69" i="540"/>
  <c r="J68" i="540"/>
  <c r="J72" i="540"/>
  <c r="J96" i="540"/>
  <c r="K45" i="540"/>
  <c r="K46" i="540"/>
  <c r="K110" i="540"/>
  <c r="K111" i="540"/>
  <c r="K112" i="540"/>
  <c r="K113" i="540"/>
  <c r="K47" i="540"/>
  <c r="K48" i="540"/>
  <c r="K49" i="540"/>
  <c r="K50" i="540"/>
  <c r="K51" i="540"/>
  <c r="K52" i="540"/>
  <c r="K53" i="540"/>
  <c r="K54" i="540"/>
  <c r="K55" i="540"/>
  <c r="K56" i="540"/>
  <c r="K57" i="540"/>
  <c r="K58" i="540"/>
  <c r="K59" i="540"/>
  <c r="K60" i="540"/>
  <c r="K61" i="540"/>
  <c r="K62" i="540"/>
  <c r="K63" i="540"/>
  <c r="K69" i="540"/>
  <c r="K68" i="540"/>
  <c r="K72" i="540"/>
  <c r="K96" i="540"/>
  <c r="G45" i="540"/>
  <c r="G46" i="540"/>
  <c r="G110" i="540"/>
  <c r="G111" i="540"/>
  <c r="G112" i="540"/>
  <c r="G113" i="540"/>
  <c r="G47" i="540"/>
  <c r="G48" i="540"/>
  <c r="G49" i="540"/>
  <c r="G50" i="540"/>
  <c r="G51" i="540"/>
  <c r="G52" i="540"/>
  <c r="G53" i="540"/>
  <c r="G54" i="540"/>
  <c r="G55" i="540"/>
  <c r="G56" i="540"/>
  <c r="G57" i="540"/>
  <c r="G58" i="540"/>
  <c r="G59" i="540"/>
  <c r="G60" i="540"/>
  <c r="G61" i="540"/>
  <c r="G62" i="540"/>
  <c r="G63" i="540"/>
  <c r="G68" i="540"/>
  <c r="G69" i="540"/>
  <c r="G72" i="540"/>
  <c r="G96" i="540"/>
  <c r="S96" i="540"/>
  <c r="P38" i="540"/>
  <c r="P72" i="540"/>
  <c r="P68" i="540"/>
  <c r="P97" i="540"/>
  <c r="Q45" i="540"/>
  <c r="Q46" i="540"/>
  <c r="Q9" i="540"/>
  <c r="Q4" i="540"/>
  <c r="Q6" i="540"/>
  <c r="Q110" i="540"/>
  <c r="Q111" i="540"/>
  <c r="Q112" i="540"/>
  <c r="Q113" i="540"/>
  <c r="Q47" i="540"/>
  <c r="Q10" i="540"/>
  <c r="Q48" i="540"/>
  <c r="Q11" i="540"/>
  <c r="Q49" i="540"/>
  <c r="Q12" i="540"/>
  <c r="Q50" i="540"/>
  <c r="Q13" i="540"/>
  <c r="Q51" i="540"/>
  <c r="Q14" i="540"/>
  <c r="Q52" i="540"/>
  <c r="Q15" i="540"/>
  <c r="Q53" i="540"/>
  <c r="Q16" i="540"/>
  <c r="Q54" i="540"/>
  <c r="Q17" i="540"/>
  <c r="Q55" i="540"/>
  <c r="Q18" i="540"/>
  <c r="Q56" i="540"/>
  <c r="Q57" i="540"/>
  <c r="Q58" i="540"/>
  <c r="Q59" i="540"/>
  <c r="Q20" i="540"/>
  <c r="Q60" i="540"/>
  <c r="Q61" i="540"/>
  <c r="Q62" i="540"/>
  <c r="Q24" i="540"/>
  <c r="Q63" i="540"/>
  <c r="Q69" i="540"/>
  <c r="Q72" i="540"/>
  <c r="Q68" i="540"/>
  <c r="Q97" i="540"/>
  <c r="R45" i="540"/>
  <c r="R46" i="540"/>
  <c r="R9" i="540"/>
  <c r="R4" i="540"/>
  <c r="R6" i="540"/>
  <c r="R110" i="540"/>
  <c r="R111" i="540"/>
  <c r="R112" i="540"/>
  <c r="R113" i="540"/>
  <c r="R47" i="540"/>
  <c r="R10" i="540"/>
  <c r="R48" i="540"/>
  <c r="R11" i="540"/>
  <c r="R49" i="540"/>
  <c r="R12" i="540"/>
  <c r="R50" i="540"/>
  <c r="R13" i="540"/>
  <c r="R51" i="540"/>
  <c r="R14" i="540"/>
  <c r="R52" i="540"/>
  <c r="R15" i="540"/>
  <c r="R53" i="540"/>
  <c r="R16" i="540"/>
  <c r="R54" i="540"/>
  <c r="R17" i="540"/>
  <c r="R55" i="540"/>
  <c r="R18" i="540"/>
  <c r="R56" i="540"/>
  <c r="R57" i="540"/>
  <c r="R58" i="540"/>
  <c r="R59" i="540"/>
  <c r="R20" i="540"/>
  <c r="R60" i="540"/>
  <c r="R61" i="540"/>
  <c r="R62" i="540"/>
  <c r="R24" i="540"/>
  <c r="R63" i="540"/>
  <c r="R69" i="540"/>
  <c r="R38" i="540"/>
  <c r="R72" i="540"/>
  <c r="R68" i="540"/>
  <c r="R97" i="540"/>
  <c r="M45" i="541"/>
  <c r="M46" i="541"/>
  <c r="H9" i="541"/>
  <c r="I9" i="541"/>
  <c r="J9" i="541"/>
  <c r="K9" i="541"/>
  <c r="L9" i="541"/>
  <c r="M9" i="541"/>
  <c r="H4" i="541"/>
  <c r="I4" i="541"/>
  <c r="J4" i="541"/>
  <c r="K4" i="541"/>
  <c r="L4" i="541"/>
  <c r="M4" i="541"/>
  <c r="M110" i="541"/>
  <c r="M111" i="541"/>
  <c r="M112" i="541"/>
  <c r="M113" i="541"/>
  <c r="M47" i="541"/>
  <c r="H10" i="541"/>
  <c r="I10" i="541"/>
  <c r="J10" i="541"/>
  <c r="K10" i="541"/>
  <c r="L10" i="541"/>
  <c r="M10" i="541"/>
  <c r="M48" i="541"/>
  <c r="H11" i="541"/>
  <c r="I11" i="541"/>
  <c r="J11" i="541"/>
  <c r="K11" i="541"/>
  <c r="L11" i="541"/>
  <c r="M11" i="541"/>
  <c r="D49" i="541"/>
  <c r="M49" i="541"/>
  <c r="H12" i="541"/>
  <c r="I12" i="541"/>
  <c r="J12" i="541"/>
  <c r="K12" i="541"/>
  <c r="L12" i="541"/>
  <c r="M12" i="541"/>
  <c r="D50" i="541"/>
  <c r="M50" i="541"/>
  <c r="H13" i="541"/>
  <c r="I13" i="541"/>
  <c r="J13" i="541"/>
  <c r="K13" i="541"/>
  <c r="L13" i="541"/>
  <c r="M13" i="541"/>
  <c r="D51" i="541"/>
  <c r="M51" i="541"/>
  <c r="H14" i="541"/>
  <c r="I14" i="541"/>
  <c r="J14" i="541"/>
  <c r="K14" i="541"/>
  <c r="L14" i="541"/>
  <c r="M14" i="541"/>
  <c r="D52" i="541"/>
  <c r="M52" i="541"/>
  <c r="H15" i="541"/>
  <c r="I15" i="541"/>
  <c r="J15" i="541"/>
  <c r="K15" i="541"/>
  <c r="L15" i="541"/>
  <c r="M15" i="541"/>
  <c r="D53" i="541"/>
  <c r="M53" i="541"/>
  <c r="H16" i="541"/>
  <c r="I16" i="541"/>
  <c r="J16" i="541"/>
  <c r="K16" i="541"/>
  <c r="L16" i="541"/>
  <c r="M16" i="541"/>
  <c r="D54" i="541"/>
  <c r="M54" i="541"/>
  <c r="H17" i="541"/>
  <c r="I17" i="541"/>
  <c r="J17" i="541"/>
  <c r="K17" i="541"/>
  <c r="L17" i="541"/>
  <c r="M17" i="541"/>
  <c r="M55" i="541"/>
  <c r="H18" i="541"/>
  <c r="I18" i="541"/>
  <c r="J18" i="541"/>
  <c r="K18" i="541"/>
  <c r="L18" i="541"/>
  <c r="M18" i="541"/>
  <c r="M56" i="541"/>
  <c r="M57" i="541"/>
  <c r="M58" i="541"/>
  <c r="M59" i="541"/>
  <c r="H20" i="541"/>
  <c r="I20" i="541"/>
  <c r="J20" i="541"/>
  <c r="K20" i="541"/>
  <c r="L20" i="541"/>
  <c r="M20" i="541"/>
  <c r="D60" i="541"/>
  <c r="E60" i="541"/>
  <c r="M60" i="541"/>
  <c r="M61" i="541"/>
  <c r="M62" i="541"/>
  <c r="H23" i="541"/>
  <c r="I23" i="541"/>
  <c r="J23" i="541"/>
  <c r="K23" i="541"/>
  <c r="L23" i="541"/>
  <c r="M23" i="541"/>
  <c r="M63" i="541"/>
  <c r="M69" i="541"/>
  <c r="M68" i="541"/>
  <c r="M72" i="541"/>
  <c r="M97" i="541"/>
  <c r="N45" i="541"/>
  <c r="N46" i="541"/>
  <c r="N9" i="541"/>
  <c r="N4" i="541"/>
  <c r="N110" i="541"/>
  <c r="N111" i="541"/>
  <c r="N112" i="541"/>
  <c r="N113" i="541"/>
  <c r="N47" i="541"/>
  <c r="N10" i="541"/>
  <c r="N48" i="541"/>
  <c r="N11" i="541"/>
  <c r="N49" i="541"/>
  <c r="N12" i="541"/>
  <c r="N50" i="541"/>
  <c r="N13" i="541"/>
  <c r="N51" i="541"/>
  <c r="N14" i="541"/>
  <c r="N52" i="541"/>
  <c r="N15" i="541"/>
  <c r="N53" i="541"/>
  <c r="N16" i="541"/>
  <c r="N54" i="541"/>
  <c r="N17" i="541"/>
  <c r="N55" i="541"/>
  <c r="N18" i="541"/>
  <c r="N56" i="541"/>
  <c r="N57" i="541"/>
  <c r="N58" i="541"/>
  <c r="N59" i="541"/>
  <c r="N20" i="541"/>
  <c r="N60" i="541"/>
  <c r="N61" i="541"/>
  <c r="N62" i="541"/>
  <c r="N23" i="541"/>
  <c r="N63" i="541"/>
  <c r="N69" i="541"/>
  <c r="N68" i="541"/>
  <c r="N72" i="541"/>
  <c r="N97" i="541"/>
  <c r="O45" i="541"/>
  <c r="O46" i="541"/>
  <c r="O9" i="541"/>
  <c r="O4" i="541"/>
  <c r="O110" i="541"/>
  <c r="O111" i="541"/>
  <c r="O112" i="541"/>
  <c r="O113" i="541"/>
  <c r="O47" i="541"/>
  <c r="O10" i="541"/>
  <c r="O48" i="541"/>
  <c r="O11" i="541"/>
  <c r="O49" i="541"/>
  <c r="O12" i="541"/>
  <c r="O50" i="541"/>
  <c r="O13" i="541"/>
  <c r="O51" i="541"/>
  <c r="O14" i="541"/>
  <c r="O52" i="541"/>
  <c r="O15" i="541"/>
  <c r="O53" i="541"/>
  <c r="O16" i="541"/>
  <c r="O54" i="541"/>
  <c r="O17" i="541"/>
  <c r="O55" i="541"/>
  <c r="O18" i="541"/>
  <c r="O56" i="541"/>
  <c r="O57" i="541"/>
  <c r="O58" i="541"/>
  <c r="O59" i="541"/>
  <c r="O20" i="541"/>
  <c r="O60" i="541"/>
  <c r="O61" i="541"/>
  <c r="O62" i="541"/>
  <c r="O23" i="541"/>
  <c r="O63" i="541"/>
  <c r="O69" i="541"/>
  <c r="O68" i="541"/>
  <c r="O72" i="541"/>
  <c r="O97" i="541"/>
  <c r="P45" i="541"/>
  <c r="P46" i="541"/>
  <c r="P9" i="541"/>
  <c r="P4" i="541"/>
  <c r="P6" i="541"/>
  <c r="P110" i="541"/>
  <c r="P111" i="541"/>
  <c r="P112" i="541"/>
  <c r="P113" i="541"/>
  <c r="P47" i="541"/>
  <c r="P10" i="541"/>
  <c r="P48" i="541"/>
  <c r="P11" i="541"/>
  <c r="P49" i="541"/>
  <c r="P12" i="541"/>
  <c r="P50" i="541"/>
  <c r="P13" i="541"/>
  <c r="P51" i="541"/>
  <c r="P14" i="541"/>
  <c r="P52" i="541"/>
  <c r="P15" i="541"/>
  <c r="P53" i="541"/>
  <c r="P16" i="541"/>
  <c r="P54" i="541"/>
  <c r="P17" i="541"/>
  <c r="P55" i="541"/>
  <c r="P18" i="541"/>
  <c r="P56" i="541"/>
  <c r="P57" i="541"/>
  <c r="P58" i="541"/>
  <c r="P59" i="541"/>
  <c r="P20" i="541"/>
  <c r="P60" i="541"/>
  <c r="P61" i="541"/>
  <c r="P62" i="541"/>
  <c r="P63" i="541"/>
  <c r="P69" i="541"/>
  <c r="H45" i="541"/>
  <c r="H46" i="541"/>
  <c r="H110" i="541"/>
  <c r="H111" i="541"/>
  <c r="H112" i="541"/>
  <c r="H113" i="541"/>
  <c r="H47" i="541"/>
  <c r="H49" i="541"/>
  <c r="H50" i="541"/>
  <c r="H51" i="541"/>
  <c r="H52" i="541"/>
  <c r="H53" i="541"/>
  <c r="H54" i="541"/>
  <c r="H55" i="541"/>
  <c r="H56" i="541"/>
  <c r="H57" i="541"/>
  <c r="H58" i="541"/>
  <c r="H59" i="541"/>
  <c r="H60" i="541"/>
  <c r="H61" i="541"/>
  <c r="H48" i="541"/>
  <c r="H62" i="541"/>
  <c r="H63" i="541"/>
  <c r="H69" i="541"/>
  <c r="H68" i="541"/>
  <c r="H72" i="541"/>
  <c r="H96" i="541"/>
  <c r="I45" i="541"/>
  <c r="I46" i="541"/>
  <c r="I110" i="541"/>
  <c r="I111" i="541"/>
  <c r="I112" i="541"/>
  <c r="I113" i="541"/>
  <c r="I47" i="541"/>
  <c r="I48" i="541"/>
  <c r="I49" i="541"/>
  <c r="I50" i="541"/>
  <c r="I51" i="541"/>
  <c r="I52" i="541"/>
  <c r="I53" i="541"/>
  <c r="I54" i="541"/>
  <c r="I55" i="541"/>
  <c r="I56" i="541"/>
  <c r="I57" i="541"/>
  <c r="I58" i="541"/>
  <c r="I59" i="541"/>
  <c r="I60" i="541"/>
  <c r="I61" i="541"/>
  <c r="I62" i="541"/>
  <c r="I63" i="541"/>
  <c r="I69" i="541"/>
  <c r="I68" i="541"/>
  <c r="I72" i="541"/>
  <c r="I96" i="541"/>
  <c r="J45" i="541"/>
  <c r="J46" i="541"/>
  <c r="J110" i="541"/>
  <c r="J111" i="541"/>
  <c r="J112" i="541"/>
  <c r="J113" i="541"/>
  <c r="J47" i="541"/>
  <c r="J48" i="541"/>
  <c r="J49" i="541"/>
  <c r="J50" i="541"/>
  <c r="J51" i="541"/>
  <c r="J52" i="541"/>
  <c r="J53" i="541"/>
  <c r="J54" i="541"/>
  <c r="J55" i="541"/>
  <c r="J56" i="541"/>
  <c r="J57" i="541"/>
  <c r="J58" i="541"/>
  <c r="J59" i="541"/>
  <c r="J60" i="541"/>
  <c r="J61" i="541"/>
  <c r="J62" i="541"/>
  <c r="J63" i="541"/>
  <c r="J69" i="541"/>
  <c r="J68" i="541"/>
  <c r="J72" i="541"/>
  <c r="J96" i="541"/>
  <c r="K45" i="541"/>
  <c r="K46" i="541"/>
  <c r="K110" i="541"/>
  <c r="K111" i="541"/>
  <c r="K112" i="541"/>
  <c r="K113" i="541"/>
  <c r="K47" i="541"/>
  <c r="K48" i="541"/>
  <c r="K49" i="541"/>
  <c r="K50" i="541"/>
  <c r="K51" i="541"/>
  <c r="K52" i="541"/>
  <c r="K53" i="541"/>
  <c r="K54" i="541"/>
  <c r="K55" i="541"/>
  <c r="K56" i="541"/>
  <c r="K57" i="541"/>
  <c r="K58" i="541"/>
  <c r="K59" i="541"/>
  <c r="K60" i="541"/>
  <c r="K61" i="541"/>
  <c r="K62" i="541"/>
  <c r="K63" i="541"/>
  <c r="K69" i="541"/>
  <c r="K68" i="541"/>
  <c r="K72" i="541"/>
  <c r="K96" i="541"/>
  <c r="G45" i="541"/>
  <c r="G46" i="541"/>
  <c r="G110" i="541"/>
  <c r="G111" i="541"/>
  <c r="G112" i="541"/>
  <c r="G113" i="541"/>
  <c r="G47" i="541"/>
  <c r="G48" i="541"/>
  <c r="G49" i="541"/>
  <c r="G50" i="541"/>
  <c r="G51" i="541"/>
  <c r="G52" i="541"/>
  <c r="G53" i="541"/>
  <c r="G54" i="541"/>
  <c r="G55" i="541"/>
  <c r="G56" i="541"/>
  <c r="G57" i="541"/>
  <c r="G58" i="541"/>
  <c r="G59" i="541"/>
  <c r="G60" i="541"/>
  <c r="G61" i="541"/>
  <c r="G62" i="541"/>
  <c r="G63" i="541"/>
  <c r="G68" i="541"/>
  <c r="G69" i="541"/>
  <c r="G72" i="541"/>
  <c r="G96" i="541"/>
  <c r="S96" i="541"/>
  <c r="P38" i="541"/>
  <c r="P72" i="541"/>
  <c r="P68" i="541"/>
  <c r="P97" i="541"/>
  <c r="Q45" i="541"/>
  <c r="Q46" i="541"/>
  <c r="Q9" i="541"/>
  <c r="Q4" i="541"/>
  <c r="Q6" i="541"/>
  <c r="Q110" i="541"/>
  <c r="Q111" i="541"/>
  <c r="Q112" i="541"/>
  <c r="Q113" i="541"/>
  <c r="Q47" i="541"/>
  <c r="Q10" i="541"/>
  <c r="Q48" i="541"/>
  <c r="Q11" i="541"/>
  <c r="Q49" i="541"/>
  <c r="Q12" i="541"/>
  <c r="Q50" i="541"/>
  <c r="Q13" i="541"/>
  <c r="Q51" i="541"/>
  <c r="Q14" i="541"/>
  <c r="Q52" i="541"/>
  <c r="Q15" i="541"/>
  <c r="Q53" i="541"/>
  <c r="Q16" i="541"/>
  <c r="Q54" i="541"/>
  <c r="Q17" i="541"/>
  <c r="Q55" i="541"/>
  <c r="Q18" i="541"/>
  <c r="Q56" i="541"/>
  <c r="Q57" i="541"/>
  <c r="Q58" i="541"/>
  <c r="Q59" i="541"/>
  <c r="Q20" i="541"/>
  <c r="Q60" i="541"/>
  <c r="Q61" i="541"/>
  <c r="Q62" i="541"/>
  <c r="Q24" i="541"/>
  <c r="Q63" i="541"/>
  <c r="Q69" i="541"/>
  <c r="Q72" i="541"/>
  <c r="Q68" i="541"/>
  <c r="Q97" i="541"/>
  <c r="R45" i="541"/>
  <c r="R46" i="541"/>
  <c r="R9" i="541"/>
  <c r="R4" i="541"/>
  <c r="R6" i="541"/>
  <c r="R110" i="541"/>
  <c r="R111" i="541"/>
  <c r="R112" i="541"/>
  <c r="R113" i="541"/>
  <c r="R47" i="541"/>
  <c r="R10" i="541"/>
  <c r="R48" i="541"/>
  <c r="R11" i="541"/>
  <c r="R49" i="541"/>
  <c r="R12" i="541"/>
  <c r="R50" i="541"/>
  <c r="R13" i="541"/>
  <c r="R51" i="541"/>
  <c r="R14" i="541"/>
  <c r="R52" i="541"/>
  <c r="R15" i="541"/>
  <c r="R53" i="541"/>
  <c r="R16" i="541"/>
  <c r="R54" i="541"/>
  <c r="R17" i="541"/>
  <c r="R55" i="541"/>
  <c r="R18" i="541"/>
  <c r="R56" i="541"/>
  <c r="R57" i="541"/>
  <c r="R58" i="541"/>
  <c r="R59" i="541"/>
  <c r="R20" i="541"/>
  <c r="R60" i="541"/>
  <c r="R61" i="541"/>
  <c r="R62" i="541"/>
  <c r="R24" i="541"/>
  <c r="R63" i="541"/>
  <c r="R69" i="541"/>
  <c r="R38" i="541"/>
  <c r="R72" i="541"/>
  <c r="R68" i="541"/>
  <c r="R97" i="541"/>
  <c r="M45" i="542"/>
  <c r="M46" i="542"/>
  <c r="H9" i="542"/>
  <c r="I9" i="542"/>
  <c r="J9" i="542"/>
  <c r="K9" i="542"/>
  <c r="L9" i="542"/>
  <c r="M9" i="542"/>
  <c r="H4" i="542"/>
  <c r="I4" i="542"/>
  <c r="J4" i="542"/>
  <c r="K4" i="542"/>
  <c r="L4" i="542"/>
  <c r="M4" i="542"/>
  <c r="M110" i="542"/>
  <c r="M111" i="542"/>
  <c r="M112" i="542"/>
  <c r="M113" i="542"/>
  <c r="M47" i="542"/>
  <c r="H10" i="542"/>
  <c r="I10" i="542"/>
  <c r="J10" i="542"/>
  <c r="K10" i="542"/>
  <c r="L10" i="542"/>
  <c r="M10" i="542"/>
  <c r="M48" i="542"/>
  <c r="H11" i="542"/>
  <c r="I11" i="542"/>
  <c r="J11" i="542"/>
  <c r="K11" i="542"/>
  <c r="L11" i="542"/>
  <c r="M11" i="542"/>
  <c r="D49" i="542"/>
  <c r="M49" i="542"/>
  <c r="H12" i="542"/>
  <c r="I12" i="542"/>
  <c r="J12" i="542"/>
  <c r="K12" i="542"/>
  <c r="L12" i="542"/>
  <c r="M12" i="542"/>
  <c r="D50" i="542"/>
  <c r="M50" i="542"/>
  <c r="H13" i="542"/>
  <c r="I13" i="542"/>
  <c r="J13" i="542"/>
  <c r="K13" i="542"/>
  <c r="L13" i="542"/>
  <c r="M13" i="542"/>
  <c r="D51" i="542"/>
  <c r="M51" i="542"/>
  <c r="H14" i="542"/>
  <c r="I14" i="542"/>
  <c r="J14" i="542"/>
  <c r="K14" i="542"/>
  <c r="L14" i="542"/>
  <c r="M14" i="542"/>
  <c r="D52" i="542"/>
  <c r="M52" i="542"/>
  <c r="H15" i="542"/>
  <c r="I15" i="542"/>
  <c r="J15" i="542"/>
  <c r="K15" i="542"/>
  <c r="L15" i="542"/>
  <c r="M15" i="542"/>
  <c r="D53" i="542"/>
  <c r="M53" i="542"/>
  <c r="H16" i="542"/>
  <c r="I16" i="542"/>
  <c r="J16" i="542"/>
  <c r="K16" i="542"/>
  <c r="L16" i="542"/>
  <c r="M16" i="542"/>
  <c r="D54" i="542"/>
  <c r="M54" i="542"/>
  <c r="H17" i="542"/>
  <c r="I17" i="542"/>
  <c r="J17" i="542"/>
  <c r="K17" i="542"/>
  <c r="L17" i="542"/>
  <c r="M17" i="542"/>
  <c r="M55" i="542"/>
  <c r="H18" i="542"/>
  <c r="I18" i="542"/>
  <c r="J18" i="542"/>
  <c r="K18" i="542"/>
  <c r="L18" i="542"/>
  <c r="M18" i="542"/>
  <c r="M56" i="542"/>
  <c r="M57" i="542"/>
  <c r="M58" i="542"/>
  <c r="M59" i="542"/>
  <c r="H20" i="542"/>
  <c r="I20" i="542"/>
  <c r="J20" i="542"/>
  <c r="K20" i="542"/>
  <c r="L20" i="542"/>
  <c r="M20" i="542"/>
  <c r="D60" i="542"/>
  <c r="E60" i="542"/>
  <c r="M60" i="542"/>
  <c r="M61" i="542"/>
  <c r="M62" i="542"/>
  <c r="H23" i="542"/>
  <c r="I23" i="542"/>
  <c r="J23" i="542"/>
  <c r="K23" i="542"/>
  <c r="L23" i="542"/>
  <c r="M23" i="542"/>
  <c r="M63" i="542"/>
  <c r="M69" i="542"/>
  <c r="M68" i="542"/>
  <c r="M72" i="542"/>
  <c r="M97" i="542"/>
  <c r="N45" i="542"/>
  <c r="N46" i="542"/>
  <c r="N9" i="542"/>
  <c r="N4" i="542"/>
  <c r="N110" i="542"/>
  <c r="N111" i="542"/>
  <c r="N112" i="542"/>
  <c r="N113" i="542"/>
  <c r="N47" i="542"/>
  <c r="N10" i="542"/>
  <c r="N48" i="542"/>
  <c r="N11" i="542"/>
  <c r="N49" i="542"/>
  <c r="N12" i="542"/>
  <c r="N50" i="542"/>
  <c r="N13" i="542"/>
  <c r="N51" i="542"/>
  <c r="N14" i="542"/>
  <c r="N52" i="542"/>
  <c r="N15" i="542"/>
  <c r="N53" i="542"/>
  <c r="N16" i="542"/>
  <c r="N54" i="542"/>
  <c r="N17" i="542"/>
  <c r="N55" i="542"/>
  <c r="N18" i="542"/>
  <c r="N56" i="542"/>
  <c r="N57" i="542"/>
  <c r="N58" i="542"/>
  <c r="N59" i="542"/>
  <c r="N20" i="542"/>
  <c r="N60" i="542"/>
  <c r="N61" i="542"/>
  <c r="N62" i="542"/>
  <c r="N23" i="542"/>
  <c r="N63" i="542"/>
  <c r="N69" i="542"/>
  <c r="N68" i="542"/>
  <c r="N72" i="542"/>
  <c r="N97" i="542"/>
  <c r="O45" i="542"/>
  <c r="O46" i="542"/>
  <c r="O9" i="542"/>
  <c r="O4" i="542"/>
  <c r="O110" i="542"/>
  <c r="O111" i="542"/>
  <c r="O112" i="542"/>
  <c r="O113" i="542"/>
  <c r="O47" i="542"/>
  <c r="O10" i="542"/>
  <c r="O48" i="542"/>
  <c r="O11" i="542"/>
  <c r="O49" i="542"/>
  <c r="O12" i="542"/>
  <c r="O50" i="542"/>
  <c r="O13" i="542"/>
  <c r="O51" i="542"/>
  <c r="O14" i="542"/>
  <c r="O52" i="542"/>
  <c r="O15" i="542"/>
  <c r="O53" i="542"/>
  <c r="O16" i="542"/>
  <c r="O54" i="542"/>
  <c r="O17" i="542"/>
  <c r="O55" i="542"/>
  <c r="O18" i="542"/>
  <c r="O56" i="542"/>
  <c r="O57" i="542"/>
  <c r="O58" i="542"/>
  <c r="O59" i="542"/>
  <c r="O20" i="542"/>
  <c r="O60" i="542"/>
  <c r="O61" i="542"/>
  <c r="O62" i="542"/>
  <c r="O23" i="542"/>
  <c r="O63" i="542"/>
  <c r="O69" i="542"/>
  <c r="O68" i="542"/>
  <c r="O72" i="542"/>
  <c r="O97" i="542"/>
  <c r="P45" i="542"/>
  <c r="P46" i="542"/>
  <c r="P9" i="542"/>
  <c r="P4" i="542"/>
  <c r="P6" i="542"/>
  <c r="P110" i="542"/>
  <c r="P111" i="542"/>
  <c r="P112" i="542"/>
  <c r="P113" i="542"/>
  <c r="P47" i="542"/>
  <c r="P10" i="542"/>
  <c r="P48" i="542"/>
  <c r="P11" i="542"/>
  <c r="P49" i="542"/>
  <c r="P12" i="542"/>
  <c r="P50" i="542"/>
  <c r="P13" i="542"/>
  <c r="P51" i="542"/>
  <c r="P14" i="542"/>
  <c r="P52" i="542"/>
  <c r="P15" i="542"/>
  <c r="P53" i="542"/>
  <c r="P16" i="542"/>
  <c r="P54" i="542"/>
  <c r="P17" i="542"/>
  <c r="P55" i="542"/>
  <c r="P18" i="542"/>
  <c r="P56" i="542"/>
  <c r="P57" i="542"/>
  <c r="P58" i="542"/>
  <c r="P59" i="542"/>
  <c r="P20" i="542"/>
  <c r="P60" i="542"/>
  <c r="P61" i="542"/>
  <c r="P62" i="542"/>
  <c r="P63" i="542"/>
  <c r="P69" i="542"/>
  <c r="H45" i="542"/>
  <c r="H46" i="542"/>
  <c r="H110" i="542"/>
  <c r="H111" i="542"/>
  <c r="H112" i="542"/>
  <c r="H113" i="542"/>
  <c r="H47" i="542"/>
  <c r="H49" i="542"/>
  <c r="H50" i="542"/>
  <c r="H51" i="542"/>
  <c r="H52" i="542"/>
  <c r="H53" i="542"/>
  <c r="H54" i="542"/>
  <c r="H55" i="542"/>
  <c r="H56" i="542"/>
  <c r="H57" i="542"/>
  <c r="H58" i="542"/>
  <c r="H59" i="542"/>
  <c r="H60" i="542"/>
  <c r="H61" i="542"/>
  <c r="H48" i="542"/>
  <c r="H62" i="542"/>
  <c r="H63" i="542"/>
  <c r="H69" i="542"/>
  <c r="H68" i="542"/>
  <c r="H72" i="542"/>
  <c r="H96" i="542"/>
  <c r="I45" i="542"/>
  <c r="I46" i="542"/>
  <c r="I110" i="542"/>
  <c r="I111" i="542"/>
  <c r="I112" i="542"/>
  <c r="I113" i="542"/>
  <c r="I47" i="542"/>
  <c r="I48" i="542"/>
  <c r="I49" i="542"/>
  <c r="I50" i="542"/>
  <c r="I51" i="542"/>
  <c r="I52" i="542"/>
  <c r="I53" i="542"/>
  <c r="I54" i="542"/>
  <c r="I55" i="542"/>
  <c r="I56" i="542"/>
  <c r="I57" i="542"/>
  <c r="I58" i="542"/>
  <c r="I59" i="542"/>
  <c r="I60" i="542"/>
  <c r="I61" i="542"/>
  <c r="I62" i="542"/>
  <c r="I63" i="542"/>
  <c r="I69" i="542"/>
  <c r="I68" i="542"/>
  <c r="I72" i="542"/>
  <c r="I96" i="542"/>
  <c r="J45" i="542"/>
  <c r="J46" i="542"/>
  <c r="J110" i="542"/>
  <c r="J111" i="542"/>
  <c r="J112" i="542"/>
  <c r="J113" i="542"/>
  <c r="J47" i="542"/>
  <c r="J48" i="542"/>
  <c r="J49" i="542"/>
  <c r="J50" i="542"/>
  <c r="J51" i="542"/>
  <c r="J52" i="542"/>
  <c r="J53" i="542"/>
  <c r="J54" i="542"/>
  <c r="J55" i="542"/>
  <c r="J56" i="542"/>
  <c r="J57" i="542"/>
  <c r="J58" i="542"/>
  <c r="J59" i="542"/>
  <c r="J60" i="542"/>
  <c r="J61" i="542"/>
  <c r="J62" i="542"/>
  <c r="J63" i="542"/>
  <c r="J69" i="542"/>
  <c r="J68" i="542"/>
  <c r="J72" i="542"/>
  <c r="J96" i="542"/>
  <c r="K45" i="542"/>
  <c r="K46" i="542"/>
  <c r="K110" i="542"/>
  <c r="K111" i="542"/>
  <c r="K112" i="542"/>
  <c r="K113" i="542"/>
  <c r="K47" i="542"/>
  <c r="K48" i="542"/>
  <c r="K49" i="542"/>
  <c r="K50" i="542"/>
  <c r="K51" i="542"/>
  <c r="K52" i="542"/>
  <c r="K53" i="542"/>
  <c r="K54" i="542"/>
  <c r="K55" i="542"/>
  <c r="K56" i="542"/>
  <c r="K57" i="542"/>
  <c r="K58" i="542"/>
  <c r="K59" i="542"/>
  <c r="K60" i="542"/>
  <c r="K61" i="542"/>
  <c r="K62" i="542"/>
  <c r="K63" i="542"/>
  <c r="K69" i="542"/>
  <c r="K68" i="542"/>
  <c r="K72" i="542"/>
  <c r="K96" i="542"/>
  <c r="G45" i="542"/>
  <c r="G46" i="542"/>
  <c r="G110" i="542"/>
  <c r="G111" i="542"/>
  <c r="G112" i="542"/>
  <c r="G113" i="542"/>
  <c r="G47" i="542"/>
  <c r="G48" i="542"/>
  <c r="G49" i="542"/>
  <c r="G50" i="542"/>
  <c r="G51" i="542"/>
  <c r="G52" i="542"/>
  <c r="G53" i="542"/>
  <c r="G54" i="542"/>
  <c r="G55" i="542"/>
  <c r="G56" i="542"/>
  <c r="G57" i="542"/>
  <c r="G58" i="542"/>
  <c r="G59" i="542"/>
  <c r="G60" i="542"/>
  <c r="G61" i="542"/>
  <c r="G62" i="542"/>
  <c r="G63" i="542"/>
  <c r="G68" i="542"/>
  <c r="G69" i="542"/>
  <c r="G72" i="542"/>
  <c r="G96" i="542"/>
  <c r="S96" i="542"/>
  <c r="P38" i="542"/>
  <c r="P72" i="542"/>
  <c r="P68" i="542"/>
  <c r="P97" i="542"/>
  <c r="Q45" i="542"/>
  <c r="Q46" i="542"/>
  <c r="Q9" i="542"/>
  <c r="Q4" i="542"/>
  <c r="Q6" i="542"/>
  <c r="Q110" i="542"/>
  <c r="Q111" i="542"/>
  <c r="Q112" i="542"/>
  <c r="Q113" i="542"/>
  <c r="Q47" i="542"/>
  <c r="Q10" i="542"/>
  <c r="Q48" i="542"/>
  <c r="Q11" i="542"/>
  <c r="Q49" i="542"/>
  <c r="Q12" i="542"/>
  <c r="Q50" i="542"/>
  <c r="Q13" i="542"/>
  <c r="Q51" i="542"/>
  <c r="Q14" i="542"/>
  <c r="Q52" i="542"/>
  <c r="Q15" i="542"/>
  <c r="Q53" i="542"/>
  <c r="Q16" i="542"/>
  <c r="Q54" i="542"/>
  <c r="Q17" i="542"/>
  <c r="Q55" i="542"/>
  <c r="Q18" i="542"/>
  <c r="Q56" i="542"/>
  <c r="Q57" i="542"/>
  <c r="Q58" i="542"/>
  <c r="Q59" i="542"/>
  <c r="Q20" i="542"/>
  <c r="Q60" i="542"/>
  <c r="Q61" i="542"/>
  <c r="Q62" i="542"/>
  <c r="Q24" i="542"/>
  <c r="Q63" i="542"/>
  <c r="Q69" i="542"/>
  <c r="Q72" i="542"/>
  <c r="Q68" i="542"/>
  <c r="Q97" i="542"/>
  <c r="R45" i="542"/>
  <c r="R46" i="542"/>
  <c r="R9" i="542"/>
  <c r="R4" i="542"/>
  <c r="R6" i="542"/>
  <c r="R110" i="542"/>
  <c r="R111" i="542"/>
  <c r="R112" i="542"/>
  <c r="R113" i="542"/>
  <c r="R47" i="542"/>
  <c r="R10" i="542"/>
  <c r="R48" i="542"/>
  <c r="R11" i="542"/>
  <c r="R49" i="542"/>
  <c r="R12" i="542"/>
  <c r="R50" i="542"/>
  <c r="R13" i="542"/>
  <c r="R51" i="542"/>
  <c r="R14" i="542"/>
  <c r="R52" i="542"/>
  <c r="R15" i="542"/>
  <c r="R53" i="542"/>
  <c r="R16" i="542"/>
  <c r="R54" i="542"/>
  <c r="R17" i="542"/>
  <c r="R55" i="542"/>
  <c r="R18" i="542"/>
  <c r="R56" i="542"/>
  <c r="R57" i="542"/>
  <c r="R58" i="542"/>
  <c r="R59" i="542"/>
  <c r="R20" i="542"/>
  <c r="R60" i="542"/>
  <c r="R61" i="542"/>
  <c r="R62" i="542"/>
  <c r="R24" i="542"/>
  <c r="R63" i="542"/>
  <c r="R69" i="542"/>
  <c r="R38" i="542"/>
  <c r="R72" i="542"/>
  <c r="R68" i="542"/>
  <c r="R97" i="542"/>
  <c r="M45" i="543"/>
  <c r="M46" i="543"/>
  <c r="H9" i="543"/>
  <c r="I9" i="543"/>
  <c r="J9" i="543"/>
  <c r="K9" i="543"/>
  <c r="L9" i="543"/>
  <c r="M9" i="543"/>
  <c r="H4" i="543"/>
  <c r="I4" i="543"/>
  <c r="J4" i="543"/>
  <c r="K4" i="543"/>
  <c r="L4" i="543"/>
  <c r="M4" i="543"/>
  <c r="M110" i="543"/>
  <c r="M111" i="543"/>
  <c r="M112" i="543"/>
  <c r="M113" i="543"/>
  <c r="M47" i="543"/>
  <c r="H10" i="543"/>
  <c r="I10" i="543"/>
  <c r="J10" i="543"/>
  <c r="K10" i="543"/>
  <c r="L10" i="543"/>
  <c r="M10" i="543"/>
  <c r="M48" i="543"/>
  <c r="H11" i="543"/>
  <c r="I11" i="543"/>
  <c r="J11" i="543"/>
  <c r="K11" i="543"/>
  <c r="L11" i="543"/>
  <c r="M11" i="543"/>
  <c r="D49" i="543"/>
  <c r="M49" i="543"/>
  <c r="H12" i="543"/>
  <c r="I12" i="543"/>
  <c r="J12" i="543"/>
  <c r="K12" i="543"/>
  <c r="L12" i="543"/>
  <c r="M12" i="543"/>
  <c r="D50" i="543"/>
  <c r="M50" i="543"/>
  <c r="H13" i="543"/>
  <c r="I13" i="543"/>
  <c r="J13" i="543"/>
  <c r="K13" i="543"/>
  <c r="L13" i="543"/>
  <c r="M13" i="543"/>
  <c r="D51" i="543"/>
  <c r="M51" i="543"/>
  <c r="H14" i="543"/>
  <c r="I14" i="543"/>
  <c r="J14" i="543"/>
  <c r="K14" i="543"/>
  <c r="L14" i="543"/>
  <c r="M14" i="543"/>
  <c r="D52" i="543"/>
  <c r="M52" i="543"/>
  <c r="H15" i="543"/>
  <c r="I15" i="543"/>
  <c r="J15" i="543"/>
  <c r="K15" i="543"/>
  <c r="L15" i="543"/>
  <c r="M15" i="543"/>
  <c r="D53" i="543"/>
  <c r="M53" i="543"/>
  <c r="H16" i="543"/>
  <c r="I16" i="543"/>
  <c r="J16" i="543"/>
  <c r="K16" i="543"/>
  <c r="L16" i="543"/>
  <c r="M16" i="543"/>
  <c r="D54" i="543"/>
  <c r="M54" i="543"/>
  <c r="H17" i="543"/>
  <c r="I17" i="543"/>
  <c r="J17" i="543"/>
  <c r="K17" i="543"/>
  <c r="L17" i="543"/>
  <c r="M17" i="543"/>
  <c r="M55" i="543"/>
  <c r="H18" i="543"/>
  <c r="I18" i="543"/>
  <c r="J18" i="543"/>
  <c r="K18" i="543"/>
  <c r="L18" i="543"/>
  <c r="M18" i="543"/>
  <c r="M56" i="543"/>
  <c r="M57" i="543"/>
  <c r="M58" i="543"/>
  <c r="M59" i="543"/>
  <c r="H20" i="543"/>
  <c r="I20" i="543"/>
  <c r="J20" i="543"/>
  <c r="K20" i="543"/>
  <c r="L20" i="543"/>
  <c r="M20" i="543"/>
  <c r="D60" i="543"/>
  <c r="E60" i="543"/>
  <c r="M60" i="543"/>
  <c r="M61" i="543"/>
  <c r="M62" i="543"/>
  <c r="H23" i="543"/>
  <c r="I23" i="543"/>
  <c r="J23" i="543"/>
  <c r="K23" i="543"/>
  <c r="L23" i="543"/>
  <c r="M23" i="543"/>
  <c r="M63" i="543"/>
  <c r="M69" i="543"/>
  <c r="M68" i="543"/>
  <c r="M72" i="543"/>
  <c r="M97" i="543"/>
  <c r="N45" i="543"/>
  <c r="N46" i="543"/>
  <c r="N9" i="543"/>
  <c r="N4" i="543"/>
  <c r="N110" i="543"/>
  <c r="N111" i="543"/>
  <c r="N112" i="543"/>
  <c r="N113" i="543"/>
  <c r="N47" i="543"/>
  <c r="N10" i="543"/>
  <c r="N48" i="543"/>
  <c r="N11" i="543"/>
  <c r="N49" i="543"/>
  <c r="N12" i="543"/>
  <c r="N50" i="543"/>
  <c r="N13" i="543"/>
  <c r="N51" i="543"/>
  <c r="N14" i="543"/>
  <c r="N52" i="543"/>
  <c r="N15" i="543"/>
  <c r="N53" i="543"/>
  <c r="N16" i="543"/>
  <c r="N54" i="543"/>
  <c r="N17" i="543"/>
  <c r="N55" i="543"/>
  <c r="N18" i="543"/>
  <c r="N56" i="543"/>
  <c r="N57" i="543"/>
  <c r="N58" i="543"/>
  <c r="N59" i="543"/>
  <c r="N20" i="543"/>
  <c r="N60" i="543"/>
  <c r="N61" i="543"/>
  <c r="N62" i="543"/>
  <c r="N23" i="543"/>
  <c r="N63" i="543"/>
  <c r="N69" i="543"/>
  <c r="N68" i="543"/>
  <c r="N72" i="543"/>
  <c r="N97" i="543"/>
  <c r="O45" i="543"/>
  <c r="O46" i="543"/>
  <c r="O9" i="543"/>
  <c r="O4" i="543"/>
  <c r="O110" i="543"/>
  <c r="O111" i="543"/>
  <c r="O112" i="543"/>
  <c r="O113" i="543"/>
  <c r="O47" i="543"/>
  <c r="O10" i="543"/>
  <c r="O48" i="543"/>
  <c r="O11" i="543"/>
  <c r="O49" i="543"/>
  <c r="O12" i="543"/>
  <c r="O50" i="543"/>
  <c r="O13" i="543"/>
  <c r="O51" i="543"/>
  <c r="O14" i="543"/>
  <c r="O52" i="543"/>
  <c r="O15" i="543"/>
  <c r="O53" i="543"/>
  <c r="O16" i="543"/>
  <c r="O54" i="543"/>
  <c r="O17" i="543"/>
  <c r="O55" i="543"/>
  <c r="O18" i="543"/>
  <c r="O56" i="543"/>
  <c r="O57" i="543"/>
  <c r="O58" i="543"/>
  <c r="O59" i="543"/>
  <c r="O20" i="543"/>
  <c r="O60" i="543"/>
  <c r="O61" i="543"/>
  <c r="O62" i="543"/>
  <c r="O23" i="543"/>
  <c r="O63" i="543"/>
  <c r="O69" i="543"/>
  <c r="O68" i="543"/>
  <c r="O72" i="543"/>
  <c r="O97" i="543"/>
  <c r="P45" i="543"/>
  <c r="P46" i="543"/>
  <c r="P9" i="543"/>
  <c r="P4" i="543"/>
  <c r="P6" i="543"/>
  <c r="P110" i="543"/>
  <c r="P111" i="543"/>
  <c r="P112" i="543"/>
  <c r="P113" i="543"/>
  <c r="P47" i="543"/>
  <c r="P10" i="543"/>
  <c r="P48" i="543"/>
  <c r="P11" i="543"/>
  <c r="P49" i="543"/>
  <c r="P12" i="543"/>
  <c r="P50" i="543"/>
  <c r="P13" i="543"/>
  <c r="P51" i="543"/>
  <c r="P14" i="543"/>
  <c r="P52" i="543"/>
  <c r="P15" i="543"/>
  <c r="P53" i="543"/>
  <c r="P16" i="543"/>
  <c r="P54" i="543"/>
  <c r="P17" i="543"/>
  <c r="P55" i="543"/>
  <c r="P18" i="543"/>
  <c r="P56" i="543"/>
  <c r="P57" i="543"/>
  <c r="P58" i="543"/>
  <c r="P59" i="543"/>
  <c r="P20" i="543"/>
  <c r="P60" i="543"/>
  <c r="P61" i="543"/>
  <c r="P62" i="543"/>
  <c r="P63" i="543"/>
  <c r="P69" i="543"/>
  <c r="H45" i="543"/>
  <c r="H46" i="543"/>
  <c r="H110" i="543"/>
  <c r="H111" i="543"/>
  <c r="H112" i="543"/>
  <c r="H113" i="543"/>
  <c r="H47" i="543"/>
  <c r="H49" i="543"/>
  <c r="H50" i="543"/>
  <c r="H51" i="543"/>
  <c r="H52" i="543"/>
  <c r="H53" i="543"/>
  <c r="H54" i="543"/>
  <c r="H55" i="543"/>
  <c r="H56" i="543"/>
  <c r="H57" i="543"/>
  <c r="H58" i="543"/>
  <c r="H59" i="543"/>
  <c r="H60" i="543"/>
  <c r="H61" i="543"/>
  <c r="H48" i="543"/>
  <c r="H62" i="543"/>
  <c r="H63" i="543"/>
  <c r="H69" i="543"/>
  <c r="H68" i="543"/>
  <c r="H72" i="543"/>
  <c r="H96" i="543"/>
  <c r="I45" i="543"/>
  <c r="I46" i="543"/>
  <c r="I110" i="543"/>
  <c r="I111" i="543"/>
  <c r="I112" i="543"/>
  <c r="I113" i="543"/>
  <c r="I47" i="543"/>
  <c r="I48" i="543"/>
  <c r="I49" i="543"/>
  <c r="I50" i="543"/>
  <c r="I51" i="543"/>
  <c r="I52" i="543"/>
  <c r="I53" i="543"/>
  <c r="I54" i="543"/>
  <c r="I55" i="543"/>
  <c r="I56" i="543"/>
  <c r="I57" i="543"/>
  <c r="I58" i="543"/>
  <c r="I59" i="543"/>
  <c r="I60" i="543"/>
  <c r="I61" i="543"/>
  <c r="I62" i="543"/>
  <c r="I63" i="543"/>
  <c r="I69" i="543"/>
  <c r="I68" i="543"/>
  <c r="I72" i="543"/>
  <c r="I96" i="543"/>
  <c r="J45" i="543"/>
  <c r="J46" i="543"/>
  <c r="J110" i="543"/>
  <c r="J111" i="543"/>
  <c r="J112" i="543"/>
  <c r="J113" i="543"/>
  <c r="J47" i="543"/>
  <c r="J48" i="543"/>
  <c r="J49" i="543"/>
  <c r="J50" i="543"/>
  <c r="J51" i="543"/>
  <c r="J52" i="543"/>
  <c r="J53" i="543"/>
  <c r="J54" i="543"/>
  <c r="J55" i="543"/>
  <c r="J56" i="543"/>
  <c r="J57" i="543"/>
  <c r="J58" i="543"/>
  <c r="J59" i="543"/>
  <c r="J60" i="543"/>
  <c r="J61" i="543"/>
  <c r="J62" i="543"/>
  <c r="J63" i="543"/>
  <c r="J69" i="543"/>
  <c r="J68" i="543"/>
  <c r="J72" i="543"/>
  <c r="J96" i="543"/>
  <c r="K45" i="543"/>
  <c r="K46" i="543"/>
  <c r="K110" i="543"/>
  <c r="K111" i="543"/>
  <c r="K112" i="543"/>
  <c r="K113" i="543"/>
  <c r="K47" i="543"/>
  <c r="K48" i="543"/>
  <c r="K49" i="543"/>
  <c r="K50" i="543"/>
  <c r="K51" i="543"/>
  <c r="K52" i="543"/>
  <c r="K53" i="543"/>
  <c r="K54" i="543"/>
  <c r="K55" i="543"/>
  <c r="K56" i="543"/>
  <c r="K57" i="543"/>
  <c r="K58" i="543"/>
  <c r="K59" i="543"/>
  <c r="K60" i="543"/>
  <c r="K61" i="543"/>
  <c r="K62" i="543"/>
  <c r="K63" i="543"/>
  <c r="K69" i="543"/>
  <c r="K68" i="543"/>
  <c r="K72" i="543"/>
  <c r="K96" i="543"/>
  <c r="G45" i="543"/>
  <c r="G46" i="543"/>
  <c r="G110" i="543"/>
  <c r="G111" i="543"/>
  <c r="G112" i="543"/>
  <c r="G113" i="543"/>
  <c r="G47" i="543"/>
  <c r="G48" i="543"/>
  <c r="G49" i="543"/>
  <c r="G50" i="543"/>
  <c r="G51" i="543"/>
  <c r="G52" i="543"/>
  <c r="G53" i="543"/>
  <c r="G54" i="543"/>
  <c r="G55" i="543"/>
  <c r="G56" i="543"/>
  <c r="G57" i="543"/>
  <c r="G58" i="543"/>
  <c r="G59" i="543"/>
  <c r="G60" i="543"/>
  <c r="G61" i="543"/>
  <c r="G62" i="543"/>
  <c r="G63" i="543"/>
  <c r="G68" i="543"/>
  <c r="G69" i="543"/>
  <c r="G72" i="543"/>
  <c r="G96" i="543"/>
  <c r="S96" i="543"/>
  <c r="P38" i="543"/>
  <c r="P72" i="543"/>
  <c r="P68" i="543"/>
  <c r="P97" i="543"/>
  <c r="Q45" i="543"/>
  <c r="Q46" i="543"/>
  <c r="Q9" i="543"/>
  <c r="Q4" i="543"/>
  <c r="Q6" i="543"/>
  <c r="Q110" i="543"/>
  <c r="Q111" i="543"/>
  <c r="Q112" i="543"/>
  <c r="Q113" i="543"/>
  <c r="Q47" i="543"/>
  <c r="Q10" i="543"/>
  <c r="Q48" i="543"/>
  <c r="Q11" i="543"/>
  <c r="Q49" i="543"/>
  <c r="Q12" i="543"/>
  <c r="Q50" i="543"/>
  <c r="Q13" i="543"/>
  <c r="Q51" i="543"/>
  <c r="Q14" i="543"/>
  <c r="Q52" i="543"/>
  <c r="Q15" i="543"/>
  <c r="Q53" i="543"/>
  <c r="Q16" i="543"/>
  <c r="Q54" i="543"/>
  <c r="Q17" i="543"/>
  <c r="Q55" i="543"/>
  <c r="Q18" i="543"/>
  <c r="Q56" i="543"/>
  <c r="Q57" i="543"/>
  <c r="Q58" i="543"/>
  <c r="Q59" i="543"/>
  <c r="Q20" i="543"/>
  <c r="Q60" i="543"/>
  <c r="Q61" i="543"/>
  <c r="Q62" i="543"/>
  <c r="Q24" i="543"/>
  <c r="Q63" i="543"/>
  <c r="Q69" i="543"/>
  <c r="Q72" i="543"/>
  <c r="Q68" i="543"/>
  <c r="Q97" i="543"/>
  <c r="R45" i="543"/>
  <c r="R46" i="543"/>
  <c r="R9" i="543"/>
  <c r="R4" i="543"/>
  <c r="R6" i="543"/>
  <c r="R110" i="543"/>
  <c r="R111" i="543"/>
  <c r="R112" i="543"/>
  <c r="R113" i="543"/>
  <c r="R47" i="543"/>
  <c r="R10" i="543"/>
  <c r="R48" i="543"/>
  <c r="R11" i="543"/>
  <c r="R49" i="543"/>
  <c r="R12" i="543"/>
  <c r="R50" i="543"/>
  <c r="R13" i="543"/>
  <c r="R51" i="543"/>
  <c r="R14" i="543"/>
  <c r="R52" i="543"/>
  <c r="R15" i="543"/>
  <c r="R53" i="543"/>
  <c r="R16" i="543"/>
  <c r="R54" i="543"/>
  <c r="R17" i="543"/>
  <c r="R55" i="543"/>
  <c r="R18" i="543"/>
  <c r="R56" i="543"/>
  <c r="R57" i="543"/>
  <c r="R58" i="543"/>
  <c r="R59" i="543"/>
  <c r="R20" i="543"/>
  <c r="R60" i="543"/>
  <c r="R61" i="543"/>
  <c r="R62" i="543"/>
  <c r="R24" i="543"/>
  <c r="R63" i="543"/>
  <c r="R69" i="543"/>
  <c r="R38" i="543"/>
  <c r="R72" i="543"/>
  <c r="R68" i="543"/>
  <c r="R97" i="543"/>
  <c r="M45" i="544"/>
  <c r="M46" i="544"/>
  <c r="H9" i="544"/>
  <c r="I9" i="544"/>
  <c r="J9" i="544"/>
  <c r="K9" i="544"/>
  <c r="L9" i="544"/>
  <c r="M9" i="544"/>
  <c r="H4" i="544"/>
  <c r="I4" i="544"/>
  <c r="J4" i="544"/>
  <c r="K4" i="544"/>
  <c r="L4" i="544"/>
  <c r="M4" i="544"/>
  <c r="M110" i="544"/>
  <c r="M111" i="544"/>
  <c r="M112" i="544"/>
  <c r="M113" i="544"/>
  <c r="M47" i="544"/>
  <c r="H10" i="544"/>
  <c r="I10" i="544"/>
  <c r="J10" i="544"/>
  <c r="K10" i="544"/>
  <c r="L10" i="544"/>
  <c r="M10" i="544"/>
  <c r="M48" i="544"/>
  <c r="H11" i="544"/>
  <c r="I11" i="544"/>
  <c r="J11" i="544"/>
  <c r="K11" i="544"/>
  <c r="L11" i="544"/>
  <c r="M11" i="544"/>
  <c r="D49" i="544"/>
  <c r="M49" i="544"/>
  <c r="H12" i="544"/>
  <c r="I12" i="544"/>
  <c r="J12" i="544"/>
  <c r="K12" i="544"/>
  <c r="L12" i="544"/>
  <c r="M12" i="544"/>
  <c r="D50" i="544"/>
  <c r="M50" i="544"/>
  <c r="H13" i="544"/>
  <c r="I13" i="544"/>
  <c r="J13" i="544"/>
  <c r="K13" i="544"/>
  <c r="L13" i="544"/>
  <c r="M13" i="544"/>
  <c r="D51" i="544"/>
  <c r="M51" i="544"/>
  <c r="H14" i="544"/>
  <c r="I14" i="544"/>
  <c r="J14" i="544"/>
  <c r="K14" i="544"/>
  <c r="L14" i="544"/>
  <c r="M14" i="544"/>
  <c r="D52" i="544"/>
  <c r="M52" i="544"/>
  <c r="H15" i="544"/>
  <c r="I15" i="544"/>
  <c r="J15" i="544"/>
  <c r="K15" i="544"/>
  <c r="L15" i="544"/>
  <c r="M15" i="544"/>
  <c r="D53" i="544"/>
  <c r="M53" i="544"/>
  <c r="H16" i="544"/>
  <c r="I16" i="544"/>
  <c r="J16" i="544"/>
  <c r="K16" i="544"/>
  <c r="L16" i="544"/>
  <c r="M16" i="544"/>
  <c r="D54" i="544"/>
  <c r="M54" i="544"/>
  <c r="H17" i="544"/>
  <c r="I17" i="544"/>
  <c r="J17" i="544"/>
  <c r="K17" i="544"/>
  <c r="L17" i="544"/>
  <c r="M17" i="544"/>
  <c r="M55" i="544"/>
  <c r="H18" i="544"/>
  <c r="I18" i="544"/>
  <c r="J18" i="544"/>
  <c r="K18" i="544"/>
  <c r="L18" i="544"/>
  <c r="M18" i="544"/>
  <c r="M56" i="544"/>
  <c r="M57" i="544"/>
  <c r="M58" i="544"/>
  <c r="M59" i="544"/>
  <c r="H20" i="544"/>
  <c r="I20" i="544"/>
  <c r="J20" i="544"/>
  <c r="K20" i="544"/>
  <c r="L20" i="544"/>
  <c r="M20" i="544"/>
  <c r="D60" i="544"/>
  <c r="E60" i="544"/>
  <c r="M60" i="544"/>
  <c r="M61" i="544"/>
  <c r="M62" i="544"/>
  <c r="H23" i="544"/>
  <c r="I23" i="544"/>
  <c r="J23" i="544"/>
  <c r="K23" i="544"/>
  <c r="L23" i="544"/>
  <c r="M23" i="544"/>
  <c r="M63" i="544"/>
  <c r="M69" i="544"/>
  <c r="M68" i="544"/>
  <c r="M72" i="544"/>
  <c r="M97" i="544"/>
  <c r="N45" i="544"/>
  <c r="N46" i="544"/>
  <c r="N9" i="544"/>
  <c r="N4" i="544"/>
  <c r="N110" i="544"/>
  <c r="N111" i="544"/>
  <c r="N112" i="544"/>
  <c r="N113" i="544"/>
  <c r="N47" i="544"/>
  <c r="N10" i="544"/>
  <c r="N48" i="544"/>
  <c r="N11" i="544"/>
  <c r="N49" i="544"/>
  <c r="N12" i="544"/>
  <c r="N50" i="544"/>
  <c r="N13" i="544"/>
  <c r="N51" i="544"/>
  <c r="N14" i="544"/>
  <c r="N52" i="544"/>
  <c r="N15" i="544"/>
  <c r="N53" i="544"/>
  <c r="N16" i="544"/>
  <c r="N54" i="544"/>
  <c r="N17" i="544"/>
  <c r="N55" i="544"/>
  <c r="N18" i="544"/>
  <c r="N56" i="544"/>
  <c r="N57" i="544"/>
  <c r="N58" i="544"/>
  <c r="N59" i="544"/>
  <c r="N20" i="544"/>
  <c r="N60" i="544"/>
  <c r="N61" i="544"/>
  <c r="N62" i="544"/>
  <c r="N23" i="544"/>
  <c r="N63" i="544"/>
  <c r="N69" i="544"/>
  <c r="N68" i="544"/>
  <c r="N72" i="544"/>
  <c r="N97" i="544"/>
  <c r="O45" i="544"/>
  <c r="O46" i="544"/>
  <c r="O9" i="544"/>
  <c r="O4" i="544"/>
  <c r="O110" i="544"/>
  <c r="O111" i="544"/>
  <c r="O112" i="544"/>
  <c r="O113" i="544"/>
  <c r="O47" i="544"/>
  <c r="O10" i="544"/>
  <c r="O48" i="544"/>
  <c r="O11" i="544"/>
  <c r="O49" i="544"/>
  <c r="O12" i="544"/>
  <c r="O50" i="544"/>
  <c r="O13" i="544"/>
  <c r="O51" i="544"/>
  <c r="O14" i="544"/>
  <c r="O52" i="544"/>
  <c r="O15" i="544"/>
  <c r="O53" i="544"/>
  <c r="O16" i="544"/>
  <c r="O54" i="544"/>
  <c r="O17" i="544"/>
  <c r="O55" i="544"/>
  <c r="O18" i="544"/>
  <c r="O56" i="544"/>
  <c r="O57" i="544"/>
  <c r="O58" i="544"/>
  <c r="O59" i="544"/>
  <c r="O20" i="544"/>
  <c r="O60" i="544"/>
  <c r="O61" i="544"/>
  <c r="O62" i="544"/>
  <c r="O23" i="544"/>
  <c r="O63" i="544"/>
  <c r="O69" i="544"/>
  <c r="O68" i="544"/>
  <c r="O72" i="544"/>
  <c r="O97" i="544"/>
  <c r="P45" i="544"/>
  <c r="P46" i="544"/>
  <c r="P9" i="544"/>
  <c r="P4" i="544"/>
  <c r="P6" i="544"/>
  <c r="P110" i="544"/>
  <c r="P111" i="544"/>
  <c r="P112" i="544"/>
  <c r="P113" i="544"/>
  <c r="P47" i="544"/>
  <c r="P10" i="544"/>
  <c r="P48" i="544"/>
  <c r="P11" i="544"/>
  <c r="P49" i="544"/>
  <c r="P12" i="544"/>
  <c r="P50" i="544"/>
  <c r="P13" i="544"/>
  <c r="P51" i="544"/>
  <c r="P14" i="544"/>
  <c r="P52" i="544"/>
  <c r="P15" i="544"/>
  <c r="P53" i="544"/>
  <c r="P16" i="544"/>
  <c r="P54" i="544"/>
  <c r="P17" i="544"/>
  <c r="P55" i="544"/>
  <c r="P18" i="544"/>
  <c r="P56" i="544"/>
  <c r="P57" i="544"/>
  <c r="P58" i="544"/>
  <c r="P59" i="544"/>
  <c r="P20" i="544"/>
  <c r="P60" i="544"/>
  <c r="P61" i="544"/>
  <c r="P62" i="544"/>
  <c r="P63" i="544"/>
  <c r="P69" i="544"/>
  <c r="H45" i="544"/>
  <c r="H46" i="544"/>
  <c r="H110" i="544"/>
  <c r="H111" i="544"/>
  <c r="H112" i="544"/>
  <c r="H113" i="544"/>
  <c r="H47" i="544"/>
  <c r="H49" i="544"/>
  <c r="H50" i="544"/>
  <c r="H51" i="544"/>
  <c r="H52" i="544"/>
  <c r="H53" i="544"/>
  <c r="H54" i="544"/>
  <c r="H55" i="544"/>
  <c r="H56" i="544"/>
  <c r="H57" i="544"/>
  <c r="H58" i="544"/>
  <c r="H59" i="544"/>
  <c r="H60" i="544"/>
  <c r="H61" i="544"/>
  <c r="H48" i="544"/>
  <c r="H62" i="544"/>
  <c r="H63" i="544"/>
  <c r="H69" i="544"/>
  <c r="H68" i="544"/>
  <c r="H72" i="544"/>
  <c r="H96" i="544"/>
  <c r="I45" i="544"/>
  <c r="I46" i="544"/>
  <c r="I110" i="544"/>
  <c r="I111" i="544"/>
  <c r="I112" i="544"/>
  <c r="I113" i="544"/>
  <c r="I47" i="544"/>
  <c r="I48" i="544"/>
  <c r="I49" i="544"/>
  <c r="I50" i="544"/>
  <c r="I51" i="544"/>
  <c r="I52" i="544"/>
  <c r="I53" i="544"/>
  <c r="I54" i="544"/>
  <c r="I55" i="544"/>
  <c r="I56" i="544"/>
  <c r="I57" i="544"/>
  <c r="I58" i="544"/>
  <c r="I59" i="544"/>
  <c r="I60" i="544"/>
  <c r="I61" i="544"/>
  <c r="I62" i="544"/>
  <c r="I63" i="544"/>
  <c r="I69" i="544"/>
  <c r="I68" i="544"/>
  <c r="I72" i="544"/>
  <c r="I96" i="544"/>
  <c r="J45" i="544"/>
  <c r="J46" i="544"/>
  <c r="J110" i="544"/>
  <c r="J111" i="544"/>
  <c r="J112" i="544"/>
  <c r="J113" i="544"/>
  <c r="J47" i="544"/>
  <c r="J48" i="544"/>
  <c r="J49" i="544"/>
  <c r="J50" i="544"/>
  <c r="J51" i="544"/>
  <c r="J52" i="544"/>
  <c r="J53" i="544"/>
  <c r="J54" i="544"/>
  <c r="J55" i="544"/>
  <c r="J56" i="544"/>
  <c r="J57" i="544"/>
  <c r="J58" i="544"/>
  <c r="J59" i="544"/>
  <c r="J60" i="544"/>
  <c r="J61" i="544"/>
  <c r="J62" i="544"/>
  <c r="J63" i="544"/>
  <c r="J69" i="544"/>
  <c r="J68" i="544"/>
  <c r="J72" i="544"/>
  <c r="J96" i="544"/>
  <c r="K45" i="544"/>
  <c r="K46" i="544"/>
  <c r="K110" i="544"/>
  <c r="K111" i="544"/>
  <c r="K112" i="544"/>
  <c r="K113" i="544"/>
  <c r="K47" i="544"/>
  <c r="K48" i="544"/>
  <c r="K49" i="544"/>
  <c r="K50" i="544"/>
  <c r="K51" i="544"/>
  <c r="K52" i="544"/>
  <c r="K53" i="544"/>
  <c r="K54" i="544"/>
  <c r="K55" i="544"/>
  <c r="K56" i="544"/>
  <c r="K57" i="544"/>
  <c r="K58" i="544"/>
  <c r="K59" i="544"/>
  <c r="K60" i="544"/>
  <c r="K61" i="544"/>
  <c r="K62" i="544"/>
  <c r="K63" i="544"/>
  <c r="K69" i="544"/>
  <c r="K68" i="544"/>
  <c r="K72" i="544"/>
  <c r="K96" i="544"/>
  <c r="G45" i="544"/>
  <c r="G46" i="544"/>
  <c r="G110" i="544"/>
  <c r="G111" i="544"/>
  <c r="G112" i="544"/>
  <c r="G113" i="544"/>
  <c r="G47" i="544"/>
  <c r="G48" i="544"/>
  <c r="G49" i="544"/>
  <c r="G50" i="544"/>
  <c r="G51" i="544"/>
  <c r="G52" i="544"/>
  <c r="G53" i="544"/>
  <c r="G54" i="544"/>
  <c r="G55" i="544"/>
  <c r="G56" i="544"/>
  <c r="G57" i="544"/>
  <c r="G58" i="544"/>
  <c r="G59" i="544"/>
  <c r="G60" i="544"/>
  <c r="G61" i="544"/>
  <c r="G62" i="544"/>
  <c r="G63" i="544"/>
  <c r="G68" i="544"/>
  <c r="G69" i="544"/>
  <c r="G72" i="544"/>
  <c r="G96" i="544"/>
  <c r="S96" i="544"/>
  <c r="P38" i="544"/>
  <c r="P72" i="544"/>
  <c r="P68" i="544"/>
  <c r="P97" i="544"/>
  <c r="Q45" i="544"/>
  <c r="Q46" i="544"/>
  <c r="Q9" i="544"/>
  <c r="Q4" i="544"/>
  <c r="Q6" i="544"/>
  <c r="Q110" i="544"/>
  <c r="Q111" i="544"/>
  <c r="Q112" i="544"/>
  <c r="Q113" i="544"/>
  <c r="Q47" i="544"/>
  <c r="Q10" i="544"/>
  <c r="Q48" i="544"/>
  <c r="Q11" i="544"/>
  <c r="Q49" i="544"/>
  <c r="Q12" i="544"/>
  <c r="Q50" i="544"/>
  <c r="Q13" i="544"/>
  <c r="Q51" i="544"/>
  <c r="Q14" i="544"/>
  <c r="Q52" i="544"/>
  <c r="Q15" i="544"/>
  <c r="Q53" i="544"/>
  <c r="Q16" i="544"/>
  <c r="Q54" i="544"/>
  <c r="Q17" i="544"/>
  <c r="Q55" i="544"/>
  <c r="Q18" i="544"/>
  <c r="Q56" i="544"/>
  <c r="Q57" i="544"/>
  <c r="Q58" i="544"/>
  <c r="Q59" i="544"/>
  <c r="Q20" i="544"/>
  <c r="Q60" i="544"/>
  <c r="Q61" i="544"/>
  <c r="Q62" i="544"/>
  <c r="Q24" i="544"/>
  <c r="Q63" i="544"/>
  <c r="Q69" i="544"/>
  <c r="Q72" i="544"/>
  <c r="Q68" i="544"/>
  <c r="Q97" i="544"/>
  <c r="R45" i="544"/>
  <c r="R46" i="544"/>
  <c r="R9" i="544"/>
  <c r="R4" i="544"/>
  <c r="R6" i="544"/>
  <c r="R110" i="544"/>
  <c r="R111" i="544"/>
  <c r="R112" i="544"/>
  <c r="R113" i="544"/>
  <c r="R47" i="544"/>
  <c r="R10" i="544"/>
  <c r="R48" i="544"/>
  <c r="R11" i="544"/>
  <c r="R49" i="544"/>
  <c r="R12" i="544"/>
  <c r="R50" i="544"/>
  <c r="R13" i="544"/>
  <c r="R51" i="544"/>
  <c r="R14" i="544"/>
  <c r="R52" i="544"/>
  <c r="R15" i="544"/>
  <c r="R53" i="544"/>
  <c r="R16" i="544"/>
  <c r="R54" i="544"/>
  <c r="R17" i="544"/>
  <c r="R55" i="544"/>
  <c r="R18" i="544"/>
  <c r="R56" i="544"/>
  <c r="R57" i="544"/>
  <c r="R58" i="544"/>
  <c r="R59" i="544"/>
  <c r="R20" i="544"/>
  <c r="R60" i="544"/>
  <c r="R61" i="544"/>
  <c r="R62" i="544"/>
  <c r="R24" i="544"/>
  <c r="R63" i="544"/>
  <c r="R69" i="544"/>
  <c r="R38" i="544"/>
  <c r="R72" i="544"/>
  <c r="R68" i="544"/>
  <c r="R97" i="544"/>
  <c r="M45" i="545"/>
  <c r="M46" i="545"/>
  <c r="H9" i="545"/>
  <c r="I9" i="545"/>
  <c r="J9" i="545"/>
  <c r="K9" i="545"/>
  <c r="L9" i="545"/>
  <c r="M9" i="545"/>
  <c r="H4" i="545"/>
  <c r="I4" i="545"/>
  <c r="J4" i="545"/>
  <c r="K4" i="545"/>
  <c r="L4" i="545"/>
  <c r="M4" i="545"/>
  <c r="M110" i="545"/>
  <c r="M111" i="545"/>
  <c r="M112" i="545"/>
  <c r="M113" i="545"/>
  <c r="M47" i="545"/>
  <c r="H10" i="545"/>
  <c r="I10" i="545"/>
  <c r="J10" i="545"/>
  <c r="K10" i="545"/>
  <c r="L10" i="545"/>
  <c r="M10" i="545"/>
  <c r="M48" i="545"/>
  <c r="H11" i="545"/>
  <c r="I11" i="545"/>
  <c r="J11" i="545"/>
  <c r="K11" i="545"/>
  <c r="L11" i="545"/>
  <c r="M11" i="545"/>
  <c r="D49" i="545"/>
  <c r="M49" i="545"/>
  <c r="H12" i="545"/>
  <c r="I12" i="545"/>
  <c r="J12" i="545"/>
  <c r="K12" i="545"/>
  <c r="L12" i="545"/>
  <c r="M12" i="545"/>
  <c r="D50" i="545"/>
  <c r="M50" i="545"/>
  <c r="H13" i="545"/>
  <c r="I13" i="545"/>
  <c r="J13" i="545"/>
  <c r="K13" i="545"/>
  <c r="L13" i="545"/>
  <c r="M13" i="545"/>
  <c r="D51" i="545"/>
  <c r="M51" i="545"/>
  <c r="H14" i="545"/>
  <c r="I14" i="545"/>
  <c r="J14" i="545"/>
  <c r="K14" i="545"/>
  <c r="L14" i="545"/>
  <c r="M14" i="545"/>
  <c r="D52" i="545"/>
  <c r="M52" i="545"/>
  <c r="H15" i="545"/>
  <c r="I15" i="545"/>
  <c r="J15" i="545"/>
  <c r="K15" i="545"/>
  <c r="L15" i="545"/>
  <c r="M15" i="545"/>
  <c r="D53" i="545"/>
  <c r="M53" i="545"/>
  <c r="H16" i="545"/>
  <c r="I16" i="545"/>
  <c r="J16" i="545"/>
  <c r="K16" i="545"/>
  <c r="L16" i="545"/>
  <c r="M16" i="545"/>
  <c r="D54" i="545"/>
  <c r="M54" i="545"/>
  <c r="H17" i="545"/>
  <c r="I17" i="545"/>
  <c r="J17" i="545"/>
  <c r="K17" i="545"/>
  <c r="L17" i="545"/>
  <c r="M17" i="545"/>
  <c r="M55" i="545"/>
  <c r="H18" i="545"/>
  <c r="I18" i="545"/>
  <c r="J18" i="545"/>
  <c r="K18" i="545"/>
  <c r="L18" i="545"/>
  <c r="M18" i="545"/>
  <c r="M56" i="545"/>
  <c r="M57" i="545"/>
  <c r="M58" i="545"/>
  <c r="M59" i="545"/>
  <c r="H20" i="545"/>
  <c r="I20" i="545"/>
  <c r="J20" i="545"/>
  <c r="K20" i="545"/>
  <c r="L20" i="545"/>
  <c r="M20" i="545"/>
  <c r="D60" i="545"/>
  <c r="E60" i="545"/>
  <c r="M60" i="545"/>
  <c r="M61" i="545"/>
  <c r="M62" i="545"/>
  <c r="H23" i="545"/>
  <c r="I23" i="545"/>
  <c r="J23" i="545"/>
  <c r="K23" i="545"/>
  <c r="L23" i="545"/>
  <c r="M23" i="545"/>
  <c r="M63" i="545"/>
  <c r="M69" i="545"/>
  <c r="M68" i="545"/>
  <c r="M72" i="545"/>
  <c r="M97" i="545"/>
  <c r="N45" i="545"/>
  <c r="N46" i="545"/>
  <c r="N9" i="545"/>
  <c r="N4" i="545"/>
  <c r="N110" i="545"/>
  <c r="N111" i="545"/>
  <c r="N112" i="545"/>
  <c r="N113" i="545"/>
  <c r="N47" i="545"/>
  <c r="N10" i="545"/>
  <c r="N48" i="545"/>
  <c r="N11" i="545"/>
  <c r="N49" i="545"/>
  <c r="N12" i="545"/>
  <c r="N50" i="545"/>
  <c r="N13" i="545"/>
  <c r="N51" i="545"/>
  <c r="N14" i="545"/>
  <c r="N52" i="545"/>
  <c r="N15" i="545"/>
  <c r="N53" i="545"/>
  <c r="N16" i="545"/>
  <c r="N54" i="545"/>
  <c r="N17" i="545"/>
  <c r="N55" i="545"/>
  <c r="N18" i="545"/>
  <c r="N56" i="545"/>
  <c r="N57" i="545"/>
  <c r="N58" i="545"/>
  <c r="N59" i="545"/>
  <c r="N20" i="545"/>
  <c r="N60" i="545"/>
  <c r="N61" i="545"/>
  <c r="N62" i="545"/>
  <c r="N23" i="545"/>
  <c r="N63" i="545"/>
  <c r="N69" i="545"/>
  <c r="N68" i="545"/>
  <c r="N72" i="545"/>
  <c r="N97" i="545"/>
  <c r="O45" i="545"/>
  <c r="O46" i="545"/>
  <c r="O9" i="545"/>
  <c r="O4" i="545"/>
  <c r="O110" i="545"/>
  <c r="O111" i="545"/>
  <c r="O112" i="545"/>
  <c r="O113" i="545"/>
  <c r="O47" i="545"/>
  <c r="O10" i="545"/>
  <c r="O48" i="545"/>
  <c r="O11" i="545"/>
  <c r="O49" i="545"/>
  <c r="O12" i="545"/>
  <c r="O50" i="545"/>
  <c r="O13" i="545"/>
  <c r="O51" i="545"/>
  <c r="O14" i="545"/>
  <c r="O52" i="545"/>
  <c r="O15" i="545"/>
  <c r="O53" i="545"/>
  <c r="O16" i="545"/>
  <c r="O54" i="545"/>
  <c r="O17" i="545"/>
  <c r="O55" i="545"/>
  <c r="O18" i="545"/>
  <c r="O56" i="545"/>
  <c r="O57" i="545"/>
  <c r="O58" i="545"/>
  <c r="O59" i="545"/>
  <c r="O20" i="545"/>
  <c r="O60" i="545"/>
  <c r="O61" i="545"/>
  <c r="O62" i="545"/>
  <c r="O23" i="545"/>
  <c r="O63" i="545"/>
  <c r="O69" i="545"/>
  <c r="O68" i="545"/>
  <c r="O72" i="545"/>
  <c r="O97" i="545"/>
  <c r="P45" i="545"/>
  <c r="P46" i="545"/>
  <c r="P9" i="545"/>
  <c r="P4" i="545"/>
  <c r="P6" i="545"/>
  <c r="P110" i="545"/>
  <c r="P111" i="545"/>
  <c r="P112" i="545"/>
  <c r="P113" i="545"/>
  <c r="P47" i="545"/>
  <c r="P10" i="545"/>
  <c r="P48" i="545"/>
  <c r="P11" i="545"/>
  <c r="P49" i="545"/>
  <c r="P12" i="545"/>
  <c r="P50" i="545"/>
  <c r="P13" i="545"/>
  <c r="P51" i="545"/>
  <c r="P14" i="545"/>
  <c r="P52" i="545"/>
  <c r="P15" i="545"/>
  <c r="P53" i="545"/>
  <c r="P16" i="545"/>
  <c r="P54" i="545"/>
  <c r="P17" i="545"/>
  <c r="P55" i="545"/>
  <c r="P18" i="545"/>
  <c r="P56" i="545"/>
  <c r="P57" i="545"/>
  <c r="P58" i="545"/>
  <c r="P59" i="545"/>
  <c r="P20" i="545"/>
  <c r="P60" i="545"/>
  <c r="P61" i="545"/>
  <c r="P62" i="545"/>
  <c r="P63" i="545"/>
  <c r="P69" i="545"/>
  <c r="H45" i="545"/>
  <c r="H46" i="545"/>
  <c r="H110" i="545"/>
  <c r="H111" i="545"/>
  <c r="H112" i="545"/>
  <c r="H113" i="545"/>
  <c r="H47" i="545"/>
  <c r="H49" i="545"/>
  <c r="H50" i="545"/>
  <c r="H51" i="545"/>
  <c r="H52" i="545"/>
  <c r="H53" i="545"/>
  <c r="H54" i="545"/>
  <c r="H55" i="545"/>
  <c r="H56" i="545"/>
  <c r="H57" i="545"/>
  <c r="H58" i="545"/>
  <c r="H59" i="545"/>
  <c r="H60" i="545"/>
  <c r="H61" i="545"/>
  <c r="H48" i="545"/>
  <c r="H62" i="545"/>
  <c r="H63" i="545"/>
  <c r="H69" i="545"/>
  <c r="H68" i="545"/>
  <c r="H72" i="545"/>
  <c r="H96" i="545"/>
  <c r="I45" i="545"/>
  <c r="I46" i="545"/>
  <c r="I110" i="545"/>
  <c r="I111" i="545"/>
  <c r="I112" i="545"/>
  <c r="I113" i="545"/>
  <c r="I47" i="545"/>
  <c r="I48" i="545"/>
  <c r="I49" i="545"/>
  <c r="I50" i="545"/>
  <c r="I51" i="545"/>
  <c r="I52" i="545"/>
  <c r="I53" i="545"/>
  <c r="I54" i="545"/>
  <c r="I55" i="545"/>
  <c r="I56" i="545"/>
  <c r="I57" i="545"/>
  <c r="I58" i="545"/>
  <c r="I59" i="545"/>
  <c r="I60" i="545"/>
  <c r="I61" i="545"/>
  <c r="I62" i="545"/>
  <c r="I63" i="545"/>
  <c r="I69" i="545"/>
  <c r="I68" i="545"/>
  <c r="I72" i="545"/>
  <c r="I96" i="545"/>
  <c r="J45" i="545"/>
  <c r="J46" i="545"/>
  <c r="J110" i="545"/>
  <c r="J111" i="545"/>
  <c r="J112" i="545"/>
  <c r="J113" i="545"/>
  <c r="J47" i="545"/>
  <c r="J48" i="545"/>
  <c r="J49" i="545"/>
  <c r="J50" i="545"/>
  <c r="J51" i="545"/>
  <c r="J52" i="545"/>
  <c r="J53" i="545"/>
  <c r="J54" i="545"/>
  <c r="J55" i="545"/>
  <c r="J56" i="545"/>
  <c r="J57" i="545"/>
  <c r="J58" i="545"/>
  <c r="J59" i="545"/>
  <c r="J60" i="545"/>
  <c r="J61" i="545"/>
  <c r="J62" i="545"/>
  <c r="J63" i="545"/>
  <c r="J69" i="545"/>
  <c r="J68" i="545"/>
  <c r="J72" i="545"/>
  <c r="J96" i="545"/>
  <c r="K45" i="545"/>
  <c r="K46" i="545"/>
  <c r="K110" i="545"/>
  <c r="K111" i="545"/>
  <c r="K112" i="545"/>
  <c r="K113" i="545"/>
  <c r="K47" i="545"/>
  <c r="K48" i="545"/>
  <c r="K49" i="545"/>
  <c r="K50" i="545"/>
  <c r="K51" i="545"/>
  <c r="K52" i="545"/>
  <c r="K53" i="545"/>
  <c r="K54" i="545"/>
  <c r="K55" i="545"/>
  <c r="K56" i="545"/>
  <c r="K57" i="545"/>
  <c r="K58" i="545"/>
  <c r="K59" i="545"/>
  <c r="K60" i="545"/>
  <c r="K61" i="545"/>
  <c r="K62" i="545"/>
  <c r="K63" i="545"/>
  <c r="K69" i="545"/>
  <c r="K68" i="545"/>
  <c r="K72" i="545"/>
  <c r="K96" i="545"/>
  <c r="G45" i="545"/>
  <c r="G46" i="545"/>
  <c r="G110" i="545"/>
  <c r="G111" i="545"/>
  <c r="G112" i="545"/>
  <c r="G113" i="545"/>
  <c r="G47" i="545"/>
  <c r="G48" i="545"/>
  <c r="G49" i="545"/>
  <c r="G50" i="545"/>
  <c r="G51" i="545"/>
  <c r="G52" i="545"/>
  <c r="G53" i="545"/>
  <c r="G54" i="545"/>
  <c r="G55" i="545"/>
  <c r="G56" i="545"/>
  <c r="G57" i="545"/>
  <c r="G58" i="545"/>
  <c r="G59" i="545"/>
  <c r="G60" i="545"/>
  <c r="G61" i="545"/>
  <c r="G62" i="545"/>
  <c r="G63" i="545"/>
  <c r="G68" i="545"/>
  <c r="G69" i="545"/>
  <c r="G72" i="545"/>
  <c r="G96" i="545"/>
  <c r="S96" i="545"/>
  <c r="P38" i="545"/>
  <c r="P72" i="545"/>
  <c r="P68" i="545"/>
  <c r="P97" i="545"/>
  <c r="Q45" i="545"/>
  <c r="Q46" i="545"/>
  <c r="Q9" i="545"/>
  <c r="Q4" i="545"/>
  <c r="Q6" i="545"/>
  <c r="Q110" i="545"/>
  <c r="Q111" i="545"/>
  <c r="Q112" i="545"/>
  <c r="Q113" i="545"/>
  <c r="Q47" i="545"/>
  <c r="Q10" i="545"/>
  <c r="Q48" i="545"/>
  <c r="Q11" i="545"/>
  <c r="Q49" i="545"/>
  <c r="Q12" i="545"/>
  <c r="Q50" i="545"/>
  <c r="Q13" i="545"/>
  <c r="Q51" i="545"/>
  <c r="Q14" i="545"/>
  <c r="Q52" i="545"/>
  <c r="Q15" i="545"/>
  <c r="Q53" i="545"/>
  <c r="Q16" i="545"/>
  <c r="Q54" i="545"/>
  <c r="Q17" i="545"/>
  <c r="Q55" i="545"/>
  <c r="Q18" i="545"/>
  <c r="Q56" i="545"/>
  <c r="Q57" i="545"/>
  <c r="Q58" i="545"/>
  <c r="Q59" i="545"/>
  <c r="Q20" i="545"/>
  <c r="Q60" i="545"/>
  <c r="Q61" i="545"/>
  <c r="Q62" i="545"/>
  <c r="Q24" i="545"/>
  <c r="Q63" i="545"/>
  <c r="Q69" i="545"/>
  <c r="Q72" i="545"/>
  <c r="Q68" i="545"/>
  <c r="Q97" i="545"/>
  <c r="R45" i="545"/>
  <c r="R46" i="545"/>
  <c r="R9" i="545"/>
  <c r="R4" i="545"/>
  <c r="R6" i="545"/>
  <c r="R110" i="545"/>
  <c r="R111" i="545"/>
  <c r="R112" i="545"/>
  <c r="R113" i="545"/>
  <c r="R47" i="545"/>
  <c r="R10" i="545"/>
  <c r="R48" i="545"/>
  <c r="R11" i="545"/>
  <c r="R49" i="545"/>
  <c r="R12" i="545"/>
  <c r="R50" i="545"/>
  <c r="R13" i="545"/>
  <c r="R51" i="545"/>
  <c r="R14" i="545"/>
  <c r="R52" i="545"/>
  <c r="R15" i="545"/>
  <c r="R53" i="545"/>
  <c r="R16" i="545"/>
  <c r="R54" i="545"/>
  <c r="R17" i="545"/>
  <c r="R55" i="545"/>
  <c r="R18" i="545"/>
  <c r="R56" i="545"/>
  <c r="R57" i="545"/>
  <c r="R58" i="545"/>
  <c r="R59" i="545"/>
  <c r="R20" i="545"/>
  <c r="R60" i="545"/>
  <c r="R61" i="545"/>
  <c r="R62" i="545"/>
  <c r="R24" i="545"/>
  <c r="R63" i="545"/>
  <c r="R69" i="545"/>
  <c r="R38" i="545"/>
  <c r="R72" i="545"/>
  <c r="R68" i="545"/>
  <c r="R97" i="545"/>
  <c r="D49" i="270"/>
  <c r="D50" i="270"/>
  <c r="D51" i="270"/>
  <c r="D52" i="270"/>
  <c r="D53" i="270"/>
  <c r="D54" i="270"/>
  <c r="D60" i="270"/>
  <c r="E60" i="270"/>
  <c r="M68" i="270"/>
  <c r="M72" i="270"/>
  <c r="M97" i="270"/>
  <c r="N68" i="270"/>
  <c r="N72" i="270"/>
  <c r="N97" i="270"/>
  <c r="O68" i="270"/>
  <c r="O72" i="270"/>
  <c r="O97" i="270"/>
  <c r="P6" i="270"/>
  <c r="H68" i="270"/>
  <c r="H72" i="270"/>
  <c r="I68" i="270"/>
  <c r="I72" i="270"/>
  <c r="J68" i="270"/>
  <c r="J72" i="270"/>
  <c r="K68" i="270"/>
  <c r="K72" i="270"/>
  <c r="P68" i="270"/>
  <c r="P97" i="270"/>
  <c r="Q6" i="270"/>
  <c r="Q24" i="270"/>
  <c r="Q68" i="270"/>
  <c r="Q97" i="270"/>
  <c r="R6" i="270"/>
  <c r="R24" i="270"/>
  <c r="R68" i="270"/>
  <c r="R97" i="270"/>
  <c r="L45" i="531"/>
  <c r="L46" i="531"/>
  <c r="L110" i="531"/>
  <c r="L111" i="531"/>
  <c r="L112" i="531"/>
  <c r="L113" i="531"/>
  <c r="L47" i="531"/>
  <c r="L48" i="531"/>
  <c r="L49" i="531"/>
  <c r="L50" i="531"/>
  <c r="L51" i="531"/>
  <c r="L52" i="531"/>
  <c r="L53" i="531"/>
  <c r="L54" i="531"/>
  <c r="L55" i="531"/>
  <c r="L56" i="531"/>
  <c r="L57" i="531"/>
  <c r="L58" i="531"/>
  <c r="L59" i="531"/>
  <c r="L60" i="531"/>
  <c r="L61" i="531"/>
  <c r="L62" i="531"/>
  <c r="L63" i="531"/>
  <c r="L69" i="531"/>
  <c r="L68" i="531"/>
  <c r="L72" i="531"/>
  <c r="L97" i="531"/>
  <c r="L45" i="532"/>
  <c r="L46" i="532"/>
  <c r="L110" i="532"/>
  <c r="L111" i="532"/>
  <c r="L112" i="532"/>
  <c r="L113" i="532"/>
  <c r="L47" i="532"/>
  <c r="L48" i="532"/>
  <c r="L49" i="532"/>
  <c r="L50" i="532"/>
  <c r="L51" i="532"/>
  <c r="L52" i="532"/>
  <c r="L53" i="532"/>
  <c r="L54" i="532"/>
  <c r="L55" i="532"/>
  <c r="L56" i="532"/>
  <c r="L57" i="532"/>
  <c r="L58" i="532"/>
  <c r="L59" i="532"/>
  <c r="L60" i="532"/>
  <c r="L61" i="532"/>
  <c r="L62" i="532"/>
  <c r="L63" i="532"/>
  <c r="L69" i="532"/>
  <c r="L68" i="532"/>
  <c r="L72" i="532"/>
  <c r="L97" i="532"/>
  <c r="L45" i="533"/>
  <c r="L46" i="533"/>
  <c r="L110" i="533"/>
  <c r="L111" i="533"/>
  <c r="L112" i="533"/>
  <c r="L113" i="533"/>
  <c r="L47" i="533"/>
  <c r="L48" i="533"/>
  <c r="L49" i="533"/>
  <c r="L50" i="533"/>
  <c r="L51" i="533"/>
  <c r="L52" i="533"/>
  <c r="L53" i="533"/>
  <c r="L54" i="533"/>
  <c r="L55" i="533"/>
  <c r="L56" i="533"/>
  <c r="L57" i="533"/>
  <c r="L58" i="533"/>
  <c r="L59" i="533"/>
  <c r="L60" i="533"/>
  <c r="L61" i="533"/>
  <c r="L62" i="533"/>
  <c r="L63" i="533"/>
  <c r="L69" i="533"/>
  <c r="L68" i="533"/>
  <c r="L72" i="533"/>
  <c r="L97" i="533"/>
  <c r="L45" i="534"/>
  <c r="L46" i="534"/>
  <c r="L110" i="534"/>
  <c r="L111" i="534"/>
  <c r="L112" i="534"/>
  <c r="L113" i="534"/>
  <c r="L47" i="534"/>
  <c r="L48" i="534"/>
  <c r="L49" i="534"/>
  <c r="L50" i="534"/>
  <c r="L51" i="534"/>
  <c r="L52" i="534"/>
  <c r="L53" i="534"/>
  <c r="L54" i="534"/>
  <c r="L55" i="534"/>
  <c r="L56" i="534"/>
  <c r="L57" i="534"/>
  <c r="L58" i="534"/>
  <c r="L59" i="534"/>
  <c r="L60" i="534"/>
  <c r="L61" i="534"/>
  <c r="L62" i="534"/>
  <c r="L63" i="534"/>
  <c r="L69" i="534"/>
  <c r="L68" i="534"/>
  <c r="L72" i="534"/>
  <c r="L97" i="534"/>
  <c r="L45" i="535"/>
  <c r="L46" i="535"/>
  <c r="L110" i="535"/>
  <c r="L111" i="535"/>
  <c r="L112" i="535"/>
  <c r="L113" i="535"/>
  <c r="L47" i="535"/>
  <c r="L48" i="535"/>
  <c r="L49" i="535"/>
  <c r="L50" i="535"/>
  <c r="L51" i="535"/>
  <c r="L52" i="535"/>
  <c r="L53" i="535"/>
  <c r="L54" i="535"/>
  <c r="L55" i="535"/>
  <c r="L56" i="535"/>
  <c r="L57" i="535"/>
  <c r="L58" i="535"/>
  <c r="L59" i="535"/>
  <c r="L60" i="535"/>
  <c r="L61" i="535"/>
  <c r="L62" i="535"/>
  <c r="L63" i="535"/>
  <c r="L69" i="535"/>
  <c r="L68" i="535"/>
  <c r="L72" i="535"/>
  <c r="L97" i="535"/>
  <c r="L45" i="536"/>
  <c r="L46" i="536"/>
  <c r="L110" i="536"/>
  <c r="L111" i="536"/>
  <c r="L112" i="536"/>
  <c r="L113" i="536"/>
  <c r="L47" i="536"/>
  <c r="L48" i="536"/>
  <c r="L49" i="536"/>
  <c r="L50" i="536"/>
  <c r="L51" i="536"/>
  <c r="L52" i="536"/>
  <c r="L53" i="536"/>
  <c r="L54" i="536"/>
  <c r="L55" i="536"/>
  <c r="L56" i="536"/>
  <c r="L57" i="536"/>
  <c r="L58" i="536"/>
  <c r="L59" i="536"/>
  <c r="L60" i="536"/>
  <c r="L61" i="536"/>
  <c r="L62" i="536"/>
  <c r="L63" i="536"/>
  <c r="L69" i="536"/>
  <c r="L68" i="536"/>
  <c r="L72" i="536"/>
  <c r="L97" i="536"/>
  <c r="L45" i="537"/>
  <c r="L46" i="537"/>
  <c r="L110" i="537"/>
  <c r="L111" i="537"/>
  <c r="L112" i="537"/>
  <c r="L113" i="537"/>
  <c r="L47" i="537"/>
  <c r="L48" i="537"/>
  <c r="L49" i="537"/>
  <c r="L50" i="537"/>
  <c r="L51" i="537"/>
  <c r="L52" i="537"/>
  <c r="L53" i="537"/>
  <c r="L54" i="537"/>
  <c r="L55" i="537"/>
  <c r="L56" i="537"/>
  <c r="L57" i="537"/>
  <c r="L58" i="537"/>
  <c r="L59" i="537"/>
  <c r="L60" i="537"/>
  <c r="L61" i="537"/>
  <c r="L62" i="537"/>
  <c r="L63" i="537"/>
  <c r="L69" i="537"/>
  <c r="L68" i="537"/>
  <c r="L72" i="537"/>
  <c r="L97" i="537"/>
  <c r="L45" i="538"/>
  <c r="L46" i="538"/>
  <c r="L110" i="538"/>
  <c r="L111" i="538"/>
  <c r="L112" i="538"/>
  <c r="L113" i="538"/>
  <c r="L47" i="538"/>
  <c r="L48" i="538"/>
  <c r="L49" i="538"/>
  <c r="L50" i="538"/>
  <c r="L51" i="538"/>
  <c r="L52" i="538"/>
  <c r="L53" i="538"/>
  <c r="L54" i="538"/>
  <c r="L55" i="538"/>
  <c r="L56" i="538"/>
  <c r="L57" i="538"/>
  <c r="L58" i="538"/>
  <c r="L59" i="538"/>
  <c r="L60" i="538"/>
  <c r="L61" i="538"/>
  <c r="L62" i="538"/>
  <c r="L63" i="538"/>
  <c r="L69" i="538"/>
  <c r="L68" i="538"/>
  <c r="L72" i="538"/>
  <c r="L97" i="538"/>
  <c r="L45" i="539"/>
  <c r="L46" i="539"/>
  <c r="L110" i="539"/>
  <c r="L111" i="539"/>
  <c r="L112" i="539"/>
  <c r="L113" i="539"/>
  <c r="L47" i="539"/>
  <c r="L48" i="539"/>
  <c r="L49" i="539"/>
  <c r="L50" i="539"/>
  <c r="L51" i="539"/>
  <c r="L52" i="539"/>
  <c r="L53" i="539"/>
  <c r="L54" i="539"/>
  <c r="L55" i="539"/>
  <c r="L56" i="539"/>
  <c r="L57" i="539"/>
  <c r="L58" i="539"/>
  <c r="L59" i="539"/>
  <c r="L60" i="539"/>
  <c r="L61" i="539"/>
  <c r="L62" i="539"/>
  <c r="L63" i="539"/>
  <c r="L69" i="539"/>
  <c r="L68" i="539"/>
  <c r="L72" i="539"/>
  <c r="L97" i="539"/>
  <c r="L45" i="540"/>
  <c r="L46" i="540"/>
  <c r="L110" i="540"/>
  <c r="L111" i="540"/>
  <c r="L112" i="540"/>
  <c r="L113" i="540"/>
  <c r="L47" i="540"/>
  <c r="L48" i="540"/>
  <c r="L49" i="540"/>
  <c r="L50" i="540"/>
  <c r="L51" i="540"/>
  <c r="L52" i="540"/>
  <c r="L53" i="540"/>
  <c r="L54" i="540"/>
  <c r="L55" i="540"/>
  <c r="L56" i="540"/>
  <c r="L57" i="540"/>
  <c r="L58" i="540"/>
  <c r="L59" i="540"/>
  <c r="L60" i="540"/>
  <c r="L61" i="540"/>
  <c r="L62" i="540"/>
  <c r="L63" i="540"/>
  <c r="L69" i="540"/>
  <c r="L68" i="540"/>
  <c r="L72" i="540"/>
  <c r="L97" i="540"/>
  <c r="L45" i="541"/>
  <c r="L46" i="541"/>
  <c r="L110" i="541"/>
  <c r="L111" i="541"/>
  <c r="L112" i="541"/>
  <c r="L113" i="541"/>
  <c r="L47" i="541"/>
  <c r="L48" i="541"/>
  <c r="L49" i="541"/>
  <c r="L50" i="541"/>
  <c r="L51" i="541"/>
  <c r="L52" i="541"/>
  <c r="L53" i="541"/>
  <c r="L54" i="541"/>
  <c r="L55" i="541"/>
  <c r="L56" i="541"/>
  <c r="L57" i="541"/>
  <c r="L58" i="541"/>
  <c r="L59" i="541"/>
  <c r="L60" i="541"/>
  <c r="L61" i="541"/>
  <c r="L62" i="541"/>
  <c r="L63" i="541"/>
  <c r="L69" i="541"/>
  <c r="L68" i="541"/>
  <c r="L72" i="541"/>
  <c r="L97" i="541"/>
  <c r="L45" i="542"/>
  <c r="L46" i="542"/>
  <c r="L110" i="542"/>
  <c r="L111" i="542"/>
  <c r="L112" i="542"/>
  <c r="L113" i="542"/>
  <c r="L47" i="542"/>
  <c r="L48" i="542"/>
  <c r="L49" i="542"/>
  <c r="L50" i="542"/>
  <c r="L51" i="542"/>
  <c r="L52" i="542"/>
  <c r="L53" i="542"/>
  <c r="L54" i="542"/>
  <c r="L55" i="542"/>
  <c r="L56" i="542"/>
  <c r="L57" i="542"/>
  <c r="L58" i="542"/>
  <c r="L59" i="542"/>
  <c r="L60" i="542"/>
  <c r="L61" i="542"/>
  <c r="L62" i="542"/>
  <c r="L63" i="542"/>
  <c r="L69" i="542"/>
  <c r="L68" i="542"/>
  <c r="L72" i="542"/>
  <c r="L97" i="542"/>
  <c r="L45" i="543"/>
  <c r="L46" i="543"/>
  <c r="L110" i="543"/>
  <c r="L111" i="543"/>
  <c r="L112" i="543"/>
  <c r="L113" i="543"/>
  <c r="L47" i="543"/>
  <c r="L48" i="543"/>
  <c r="L49" i="543"/>
  <c r="L50" i="543"/>
  <c r="L51" i="543"/>
  <c r="L52" i="543"/>
  <c r="L53" i="543"/>
  <c r="L54" i="543"/>
  <c r="L55" i="543"/>
  <c r="L56" i="543"/>
  <c r="L57" i="543"/>
  <c r="L58" i="543"/>
  <c r="L59" i="543"/>
  <c r="L60" i="543"/>
  <c r="L61" i="543"/>
  <c r="L62" i="543"/>
  <c r="L63" i="543"/>
  <c r="L69" i="543"/>
  <c r="L68" i="543"/>
  <c r="L72" i="543"/>
  <c r="L97" i="543"/>
  <c r="L45" i="544"/>
  <c r="L46" i="544"/>
  <c r="L110" i="544"/>
  <c r="L111" i="544"/>
  <c r="L112" i="544"/>
  <c r="L113" i="544"/>
  <c r="L47" i="544"/>
  <c r="L48" i="544"/>
  <c r="L49" i="544"/>
  <c r="L50" i="544"/>
  <c r="L51" i="544"/>
  <c r="L52" i="544"/>
  <c r="L53" i="544"/>
  <c r="L54" i="544"/>
  <c r="L55" i="544"/>
  <c r="L56" i="544"/>
  <c r="L57" i="544"/>
  <c r="L58" i="544"/>
  <c r="L59" i="544"/>
  <c r="L60" i="544"/>
  <c r="L61" i="544"/>
  <c r="L62" i="544"/>
  <c r="L63" i="544"/>
  <c r="L69" i="544"/>
  <c r="L68" i="544"/>
  <c r="L72" i="544"/>
  <c r="L97" i="544"/>
  <c r="L45" i="545"/>
  <c r="L46" i="545"/>
  <c r="L110" i="545"/>
  <c r="L111" i="545"/>
  <c r="L112" i="545"/>
  <c r="L113" i="545"/>
  <c r="L47" i="545"/>
  <c r="L48" i="545"/>
  <c r="L49" i="545"/>
  <c r="L50" i="545"/>
  <c r="L51" i="545"/>
  <c r="L52" i="545"/>
  <c r="L53" i="545"/>
  <c r="L54" i="545"/>
  <c r="L55" i="545"/>
  <c r="L56" i="545"/>
  <c r="L57" i="545"/>
  <c r="L58" i="545"/>
  <c r="L59" i="545"/>
  <c r="L60" i="545"/>
  <c r="L61" i="545"/>
  <c r="L62" i="545"/>
  <c r="L63" i="545"/>
  <c r="L69" i="545"/>
  <c r="L68" i="545"/>
  <c r="L72" i="545"/>
  <c r="L97" i="545"/>
  <c r="L68" i="270"/>
  <c r="L72" i="270"/>
  <c r="L97" i="270"/>
  <c r="M5" i="531"/>
  <c r="M74" i="531"/>
  <c r="M75" i="531"/>
  <c r="M76" i="531"/>
  <c r="H19" i="531"/>
  <c r="I19" i="531"/>
  <c r="J19" i="531"/>
  <c r="K19" i="531"/>
  <c r="L19" i="531"/>
  <c r="M19" i="531"/>
  <c r="M77" i="531"/>
  <c r="M78" i="531"/>
  <c r="M79" i="531"/>
  <c r="M80" i="531"/>
  <c r="M81" i="531"/>
  <c r="M82" i="531"/>
  <c r="M83" i="531"/>
  <c r="M84" i="531"/>
  <c r="M85" i="531"/>
  <c r="M86" i="531"/>
  <c r="M87" i="531"/>
  <c r="M88" i="531"/>
  <c r="M89" i="531"/>
  <c r="M107" i="531"/>
  <c r="N5" i="531"/>
  <c r="N74" i="531"/>
  <c r="N75" i="531"/>
  <c r="N76" i="531"/>
  <c r="N19" i="531"/>
  <c r="N77" i="531"/>
  <c r="N78" i="531"/>
  <c r="N79" i="531"/>
  <c r="N80" i="531"/>
  <c r="N81" i="531"/>
  <c r="N82" i="531"/>
  <c r="N83" i="531"/>
  <c r="N84" i="531"/>
  <c r="N85" i="531"/>
  <c r="N86" i="531"/>
  <c r="N87" i="531"/>
  <c r="N88" i="531"/>
  <c r="N89" i="531"/>
  <c r="N107" i="531"/>
  <c r="O5" i="531"/>
  <c r="O74" i="531"/>
  <c r="O75" i="531"/>
  <c r="O76" i="531"/>
  <c r="O19" i="531"/>
  <c r="O77" i="531"/>
  <c r="O78" i="531"/>
  <c r="O79" i="531"/>
  <c r="O80" i="531"/>
  <c r="O81" i="531"/>
  <c r="O82" i="531"/>
  <c r="O83" i="531"/>
  <c r="O84" i="531"/>
  <c r="O85" i="531"/>
  <c r="O86" i="531"/>
  <c r="O87" i="531"/>
  <c r="O88" i="531"/>
  <c r="O89" i="531"/>
  <c r="O107" i="531"/>
  <c r="P5" i="531"/>
  <c r="P74" i="531"/>
  <c r="P75" i="531"/>
  <c r="P76" i="531"/>
  <c r="P19" i="531"/>
  <c r="P77" i="531"/>
  <c r="P78" i="531"/>
  <c r="P79" i="531"/>
  <c r="P80" i="531"/>
  <c r="P81" i="531"/>
  <c r="P82" i="531"/>
  <c r="P83" i="531"/>
  <c r="P84" i="531"/>
  <c r="P85" i="531"/>
  <c r="P86" i="531"/>
  <c r="P87" i="531"/>
  <c r="P88" i="531"/>
  <c r="P89" i="531"/>
  <c r="P107" i="531"/>
  <c r="Q5" i="531"/>
  <c r="Q74" i="531"/>
  <c r="Q75" i="531"/>
  <c r="Q76" i="531"/>
  <c r="Q19" i="531"/>
  <c r="Q77" i="531"/>
  <c r="Q78" i="531"/>
  <c r="Q79" i="531"/>
  <c r="Q80" i="531"/>
  <c r="Q81" i="531"/>
  <c r="Q82" i="531"/>
  <c r="Q83" i="531"/>
  <c r="Q84" i="531"/>
  <c r="Q85" i="531"/>
  <c r="Q86" i="531"/>
  <c r="Q87" i="531"/>
  <c r="Q88" i="531"/>
  <c r="Q89" i="531"/>
  <c r="Q107" i="531"/>
  <c r="R5" i="531"/>
  <c r="R74" i="531"/>
  <c r="R75" i="531"/>
  <c r="R76" i="531"/>
  <c r="R19" i="531"/>
  <c r="R77" i="531"/>
  <c r="R78" i="531"/>
  <c r="R79" i="531"/>
  <c r="R80" i="531"/>
  <c r="R81" i="531"/>
  <c r="R82" i="531"/>
  <c r="R83" i="531"/>
  <c r="R84" i="531"/>
  <c r="R85" i="531"/>
  <c r="R86" i="531"/>
  <c r="R87" i="531"/>
  <c r="R88" i="531"/>
  <c r="R89" i="531"/>
  <c r="R107" i="531"/>
  <c r="M5" i="532"/>
  <c r="M74" i="532"/>
  <c r="M75" i="532"/>
  <c r="M76" i="532"/>
  <c r="H19" i="532"/>
  <c r="I19" i="532"/>
  <c r="J19" i="532"/>
  <c r="K19" i="532"/>
  <c r="L19" i="532"/>
  <c r="M19" i="532"/>
  <c r="M77" i="532"/>
  <c r="M78" i="532"/>
  <c r="M79" i="532"/>
  <c r="M80" i="532"/>
  <c r="M81" i="532"/>
  <c r="M82" i="532"/>
  <c r="M83" i="532"/>
  <c r="M84" i="532"/>
  <c r="M85" i="532"/>
  <c r="M86" i="532"/>
  <c r="M87" i="532"/>
  <c r="M88" i="532"/>
  <c r="M89" i="532"/>
  <c r="M107" i="532"/>
  <c r="N5" i="532"/>
  <c r="N74" i="532"/>
  <c r="N75" i="532"/>
  <c r="N76" i="532"/>
  <c r="N19" i="532"/>
  <c r="N77" i="532"/>
  <c r="N78" i="532"/>
  <c r="N79" i="532"/>
  <c r="N80" i="532"/>
  <c r="N81" i="532"/>
  <c r="N82" i="532"/>
  <c r="N83" i="532"/>
  <c r="N84" i="532"/>
  <c r="N85" i="532"/>
  <c r="N86" i="532"/>
  <c r="N87" i="532"/>
  <c r="N88" i="532"/>
  <c r="N89" i="532"/>
  <c r="N107" i="532"/>
  <c r="O5" i="532"/>
  <c r="O74" i="532"/>
  <c r="O75" i="532"/>
  <c r="O76" i="532"/>
  <c r="O19" i="532"/>
  <c r="O77" i="532"/>
  <c r="O78" i="532"/>
  <c r="O79" i="532"/>
  <c r="O80" i="532"/>
  <c r="O81" i="532"/>
  <c r="O82" i="532"/>
  <c r="O83" i="532"/>
  <c r="O84" i="532"/>
  <c r="O85" i="532"/>
  <c r="O86" i="532"/>
  <c r="O87" i="532"/>
  <c r="O88" i="532"/>
  <c r="O89" i="532"/>
  <c r="O107" i="532"/>
  <c r="P5" i="532"/>
  <c r="P74" i="532"/>
  <c r="P75" i="532"/>
  <c r="P76" i="532"/>
  <c r="P19" i="532"/>
  <c r="P77" i="532"/>
  <c r="P78" i="532"/>
  <c r="P79" i="532"/>
  <c r="P80" i="532"/>
  <c r="P81" i="532"/>
  <c r="P82" i="532"/>
  <c r="P83" i="532"/>
  <c r="P84" i="532"/>
  <c r="P85" i="532"/>
  <c r="P86" i="532"/>
  <c r="P87" i="532"/>
  <c r="P88" i="532"/>
  <c r="P89" i="532"/>
  <c r="P107" i="532"/>
  <c r="Q5" i="532"/>
  <c r="Q74" i="532"/>
  <c r="Q75" i="532"/>
  <c r="Q76" i="532"/>
  <c r="Q19" i="532"/>
  <c r="Q77" i="532"/>
  <c r="Q78" i="532"/>
  <c r="Q79" i="532"/>
  <c r="Q80" i="532"/>
  <c r="Q81" i="532"/>
  <c r="Q82" i="532"/>
  <c r="Q83" i="532"/>
  <c r="Q84" i="532"/>
  <c r="Q85" i="532"/>
  <c r="Q86" i="532"/>
  <c r="Q87" i="532"/>
  <c r="Q88" i="532"/>
  <c r="Q89" i="532"/>
  <c r="Q107" i="532"/>
  <c r="R5" i="532"/>
  <c r="R74" i="532"/>
  <c r="R75" i="532"/>
  <c r="R76" i="532"/>
  <c r="R19" i="532"/>
  <c r="R77" i="532"/>
  <c r="R78" i="532"/>
  <c r="R79" i="532"/>
  <c r="R80" i="532"/>
  <c r="R81" i="532"/>
  <c r="R82" i="532"/>
  <c r="R83" i="532"/>
  <c r="R84" i="532"/>
  <c r="R85" i="532"/>
  <c r="R86" i="532"/>
  <c r="R87" i="532"/>
  <c r="R88" i="532"/>
  <c r="R89" i="532"/>
  <c r="R107" i="532"/>
  <c r="M5" i="533"/>
  <c r="M74" i="533"/>
  <c r="M75" i="533"/>
  <c r="M76" i="533"/>
  <c r="H19" i="533"/>
  <c r="I19" i="533"/>
  <c r="J19" i="533"/>
  <c r="K19" i="533"/>
  <c r="L19" i="533"/>
  <c r="M19" i="533"/>
  <c r="M77" i="533"/>
  <c r="M78" i="533"/>
  <c r="M79" i="533"/>
  <c r="M80" i="533"/>
  <c r="M81" i="533"/>
  <c r="M82" i="533"/>
  <c r="M83" i="533"/>
  <c r="M84" i="533"/>
  <c r="M85" i="533"/>
  <c r="M86" i="533"/>
  <c r="M87" i="533"/>
  <c r="M88" i="533"/>
  <c r="M89" i="533"/>
  <c r="M107" i="533"/>
  <c r="N5" i="533"/>
  <c r="N74" i="533"/>
  <c r="N75" i="533"/>
  <c r="N76" i="533"/>
  <c r="N19" i="533"/>
  <c r="N77" i="533"/>
  <c r="N78" i="533"/>
  <c r="N79" i="533"/>
  <c r="N80" i="533"/>
  <c r="N81" i="533"/>
  <c r="N82" i="533"/>
  <c r="N83" i="533"/>
  <c r="N84" i="533"/>
  <c r="N85" i="533"/>
  <c r="N86" i="533"/>
  <c r="N87" i="533"/>
  <c r="N88" i="533"/>
  <c r="N89" i="533"/>
  <c r="N107" i="533"/>
  <c r="O5" i="533"/>
  <c r="O74" i="533"/>
  <c r="O75" i="533"/>
  <c r="O76" i="533"/>
  <c r="O19" i="533"/>
  <c r="O77" i="533"/>
  <c r="O78" i="533"/>
  <c r="O79" i="533"/>
  <c r="O80" i="533"/>
  <c r="O81" i="533"/>
  <c r="O82" i="533"/>
  <c r="O83" i="533"/>
  <c r="O84" i="533"/>
  <c r="O85" i="533"/>
  <c r="O86" i="533"/>
  <c r="O87" i="533"/>
  <c r="O88" i="533"/>
  <c r="O89" i="533"/>
  <c r="O107" i="533"/>
  <c r="P5" i="533"/>
  <c r="P74" i="533"/>
  <c r="P75" i="533"/>
  <c r="P76" i="533"/>
  <c r="P19" i="533"/>
  <c r="P77" i="533"/>
  <c r="P78" i="533"/>
  <c r="P79" i="533"/>
  <c r="P80" i="533"/>
  <c r="P81" i="533"/>
  <c r="P82" i="533"/>
  <c r="P83" i="533"/>
  <c r="P84" i="533"/>
  <c r="P85" i="533"/>
  <c r="P86" i="533"/>
  <c r="P87" i="533"/>
  <c r="P88" i="533"/>
  <c r="P89" i="533"/>
  <c r="P107" i="533"/>
  <c r="Q5" i="533"/>
  <c r="Q74" i="533"/>
  <c r="Q75" i="533"/>
  <c r="Q76" i="533"/>
  <c r="Q19" i="533"/>
  <c r="Q77" i="533"/>
  <c r="Q78" i="533"/>
  <c r="Q79" i="533"/>
  <c r="Q80" i="533"/>
  <c r="Q81" i="533"/>
  <c r="Q82" i="533"/>
  <c r="Q83" i="533"/>
  <c r="Q84" i="533"/>
  <c r="Q85" i="533"/>
  <c r="Q86" i="533"/>
  <c r="Q87" i="533"/>
  <c r="Q88" i="533"/>
  <c r="Q89" i="533"/>
  <c r="Q107" i="533"/>
  <c r="R5" i="533"/>
  <c r="R74" i="533"/>
  <c r="R75" i="533"/>
  <c r="R76" i="533"/>
  <c r="R19" i="533"/>
  <c r="R77" i="533"/>
  <c r="R78" i="533"/>
  <c r="R79" i="533"/>
  <c r="R80" i="533"/>
  <c r="R81" i="533"/>
  <c r="R82" i="533"/>
  <c r="R83" i="533"/>
  <c r="R84" i="533"/>
  <c r="R85" i="533"/>
  <c r="R86" i="533"/>
  <c r="R87" i="533"/>
  <c r="R88" i="533"/>
  <c r="R89" i="533"/>
  <c r="R107" i="533"/>
  <c r="M5" i="534"/>
  <c r="M74" i="534"/>
  <c r="M75" i="534"/>
  <c r="M76" i="534"/>
  <c r="H19" i="534"/>
  <c r="I19" i="534"/>
  <c r="J19" i="534"/>
  <c r="K19" i="534"/>
  <c r="L19" i="534"/>
  <c r="M19" i="534"/>
  <c r="M77" i="534"/>
  <c r="M78" i="534"/>
  <c r="M79" i="534"/>
  <c r="M80" i="534"/>
  <c r="M81" i="534"/>
  <c r="M82" i="534"/>
  <c r="M83" i="534"/>
  <c r="M84" i="534"/>
  <c r="M85" i="534"/>
  <c r="M86" i="534"/>
  <c r="M87" i="534"/>
  <c r="M88" i="534"/>
  <c r="M89" i="534"/>
  <c r="M107" i="534"/>
  <c r="N5" i="534"/>
  <c r="N74" i="534"/>
  <c r="N75" i="534"/>
  <c r="N76" i="534"/>
  <c r="N19" i="534"/>
  <c r="N77" i="534"/>
  <c r="N78" i="534"/>
  <c r="N79" i="534"/>
  <c r="N80" i="534"/>
  <c r="N81" i="534"/>
  <c r="N82" i="534"/>
  <c r="N83" i="534"/>
  <c r="N84" i="534"/>
  <c r="N85" i="534"/>
  <c r="N86" i="534"/>
  <c r="N87" i="534"/>
  <c r="N88" i="534"/>
  <c r="N89" i="534"/>
  <c r="N107" i="534"/>
  <c r="O5" i="534"/>
  <c r="O74" i="534"/>
  <c r="O75" i="534"/>
  <c r="O76" i="534"/>
  <c r="O19" i="534"/>
  <c r="O77" i="534"/>
  <c r="O78" i="534"/>
  <c r="O79" i="534"/>
  <c r="O80" i="534"/>
  <c r="O81" i="534"/>
  <c r="O82" i="534"/>
  <c r="O83" i="534"/>
  <c r="O84" i="534"/>
  <c r="O85" i="534"/>
  <c r="O86" i="534"/>
  <c r="O87" i="534"/>
  <c r="O88" i="534"/>
  <c r="O89" i="534"/>
  <c r="O107" i="534"/>
  <c r="P5" i="534"/>
  <c r="P74" i="534"/>
  <c r="P75" i="534"/>
  <c r="P76" i="534"/>
  <c r="P19" i="534"/>
  <c r="P77" i="534"/>
  <c r="P78" i="534"/>
  <c r="P79" i="534"/>
  <c r="P80" i="534"/>
  <c r="P81" i="534"/>
  <c r="P82" i="534"/>
  <c r="P83" i="534"/>
  <c r="P84" i="534"/>
  <c r="P85" i="534"/>
  <c r="P86" i="534"/>
  <c r="P87" i="534"/>
  <c r="P88" i="534"/>
  <c r="P89" i="534"/>
  <c r="P107" i="534"/>
  <c r="Q5" i="534"/>
  <c r="Q74" i="534"/>
  <c r="Q75" i="534"/>
  <c r="Q76" i="534"/>
  <c r="Q19" i="534"/>
  <c r="Q77" i="534"/>
  <c r="Q78" i="534"/>
  <c r="Q79" i="534"/>
  <c r="Q80" i="534"/>
  <c r="Q81" i="534"/>
  <c r="Q82" i="534"/>
  <c r="Q83" i="534"/>
  <c r="Q84" i="534"/>
  <c r="Q85" i="534"/>
  <c r="Q86" i="534"/>
  <c r="Q87" i="534"/>
  <c r="Q88" i="534"/>
  <c r="Q89" i="534"/>
  <c r="Q107" i="534"/>
  <c r="R5" i="534"/>
  <c r="R74" i="534"/>
  <c r="R75" i="534"/>
  <c r="R76" i="534"/>
  <c r="R19" i="534"/>
  <c r="R77" i="534"/>
  <c r="R78" i="534"/>
  <c r="R79" i="534"/>
  <c r="R80" i="534"/>
  <c r="R81" i="534"/>
  <c r="R82" i="534"/>
  <c r="R83" i="534"/>
  <c r="R84" i="534"/>
  <c r="R85" i="534"/>
  <c r="R86" i="534"/>
  <c r="R87" i="534"/>
  <c r="R88" i="534"/>
  <c r="R89" i="534"/>
  <c r="R107" i="534"/>
  <c r="M5" i="535"/>
  <c r="M74" i="535"/>
  <c r="M75" i="535"/>
  <c r="M76" i="535"/>
  <c r="H19" i="535"/>
  <c r="I19" i="535"/>
  <c r="J19" i="535"/>
  <c r="K19" i="535"/>
  <c r="L19" i="535"/>
  <c r="M19" i="535"/>
  <c r="M77" i="535"/>
  <c r="M78" i="535"/>
  <c r="M79" i="535"/>
  <c r="M80" i="535"/>
  <c r="M81" i="535"/>
  <c r="M82" i="535"/>
  <c r="M83" i="535"/>
  <c r="M84" i="535"/>
  <c r="M85" i="535"/>
  <c r="M86" i="535"/>
  <c r="M87" i="535"/>
  <c r="M88" i="535"/>
  <c r="M89" i="535"/>
  <c r="M107" i="535"/>
  <c r="N5" i="535"/>
  <c r="N74" i="535"/>
  <c r="N75" i="535"/>
  <c r="N76" i="535"/>
  <c r="N19" i="535"/>
  <c r="N77" i="535"/>
  <c r="N78" i="535"/>
  <c r="N79" i="535"/>
  <c r="N80" i="535"/>
  <c r="N81" i="535"/>
  <c r="N82" i="535"/>
  <c r="N83" i="535"/>
  <c r="N84" i="535"/>
  <c r="N85" i="535"/>
  <c r="N86" i="535"/>
  <c r="N87" i="535"/>
  <c r="N88" i="535"/>
  <c r="N89" i="535"/>
  <c r="N107" i="535"/>
  <c r="O5" i="535"/>
  <c r="O74" i="535"/>
  <c r="O75" i="535"/>
  <c r="O76" i="535"/>
  <c r="O19" i="535"/>
  <c r="O77" i="535"/>
  <c r="O78" i="535"/>
  <c r="O79" i="535"/>
  <c r="O80" i="535"/>
  <c r="O81" i="535"/>
  <c r="O82" i="535"/>
  <c r="O83" i="535"/>
  <c r="O84" i="535"/>
  <c r="O85" i="535"/>
  <c r="O86" i="535"/>
  <c r="O87" i="535"/>
  <c r="O88" i="535"/>
  <c r="O89" i="535"/>
  <c r="O107" i="535"/>
  <c r="P5" i="535"/>
  <c r="P74" i="535"/>
  <c r="P75" i="535"/>
  <c r="P76" i="535"/>
  <c r="P19" i="535"/>
  <c r="P77" i="535"/>
  <c r="P78" i="535"/>
  <c r="P79" i="535"/>
  <c r="P80" i="535"/>
  <c r="P81" i="535"/>
  <c r="P82" i="535"/>
  <c r="P83" i="535"/>
  <c r="P84" i="535"/>
  <c r="P85" i="535"/>
  <c r="P86" i="535"/>
  <c r="P87" i="535"/>
  <c r="P88" i="535"/>
  <c r="P89" i="535"/>
  <c r="P107" i="535"/>
  <c r="Q5" i="535"/>
  <c r="Q74" i="535"/>
  <c r="Q75" i="535"/>
  <c r="Q76" i="535"/>
  <c r="Q19" i="535"/>
  <c r="Q77" i="535"/>
  <c r="Q78" i="535"/>
  <c r="Q79" i="535"/>
  <c r="Q80" i="535"/>
  <c r="Q81" i="535"/>
  <c r="Q82" i="535"/>
  <c r="Q83" i="535"/>
  <c r="Q84" i="535"/>
  <c r="Q85" i="535"/>
  <c r="Q86" i="535"/>
  <c r="Q87" i="535"/>
  <c r="Q88" i="535"/>
  <c r="Q89" i="535"/>
  <c r="Q107" i="535"/>
  <c r="R5" i="535"/>
  <c r="R74" i="535"/>
  <c r="R75" i="535"/>
  <c r="R76" i="535"/>
  <c r="R19" i="535"/>
  <c r="R77" i="535"/>
  <c r="R78" i="535"/>
  <c r="R79" i="535"/>
  <c r="R80" i="535"/>
  <c r="R81" i="535"/>
  <c r="R82" i="535"/>
  <c r="R83" i="535"/>
  <c r="R84" i="535"/>
  <c r="R85" i="535"/>
  <c r="R86" i="535"/>
  <c r="R87" i="535"/>
  <c r="R88" i="535"/>
  <c r="R89" i="535"/>
  <c r="R107" i="535"/>
  <c r="M5" i="536"/>
  <c r="M74" i="536"/>
  <c r="M75" i="536"/>
  <c r="M76" i="536"/>
  <c r="H19" i="536"/>
  <c r="I19" i="536"/>
  <c r="J19" i="536"/>
  <c r="K19" i="536"/>
  <c r="L19" i="536"/>
  <c r="M19" i="536"/>
  <c r="M77" i="536"/>
  <c r="M78" i="536"/>
  <c r="M79" i="536"/>
  <c r="M80" i="536"/>
  <c r="M81" i="536"/>
  <c r="M82" i="536"/>
  <c r="M83" i="536"/>
  <c r="M84" i="536"/>
  <c r="M85" i="536"/>
  <c r="M86" i="536"/>
  <c r="M87" i="536"/>
  <c r="M88" i="536"/>
  <c r="M89" i="536"/>
  <c r="M107" i="536"/>
  <c r="N5" i="536"/>
  <c r="N74" i="536"/>
  <c r="N75" i="536"/>
  <c r="N76" i="536"/>
  <c r="N19" i="536"/>
  <c r="N77" i="536"/>
  <c r="N78" i="536"/>
  <c r="N79" i="536"/>
  <c r="N80" i="536"/>
  <c r="N81" i="536"/>
  <c r="N82" i="536"/>
  <c r="N83" i="536"/>
  <c r="N84" i="536"/>
  <c r="N85" i="536"/>
  <c r="N86" i="536"/>
  <c r="N87" i="536"/>
  <c r="N88" i="536"/>
  <c r="N89" i="536"/>
  <c r="N107" i="536"/>
  <c r="O5" i="536"/>
  <c r="O74" i="536"/>
  <c r="O75" i="536"/>
  <c r="O76" i="536"/>
  <c r="O19" i="536"/>
  <c r="O77" i="536"/>
  <c r="O78" i="536"/>
  <c r="O79" i="536"/>
  <c r="O80" i="536"/>
  <c r="O81" i="536"/>
  <c r="O82" i="536"/>
  <c r="O83" i="536"/>
  <c r="O84" i="536"/>
  <c r="O85" i="536"/>
  <c r="O86" i="536"/>
  <c r="O87" i="536"/>
  <c r="O88" i="536"/>
  <c r="O89" i="536"/>
  <c r="O107" i="536"/>
  <c r="P5" i="536"/>
  <c r="P74" i="536"/>
  <c r="P75" i="536"/>
  <c r="P76" i="536"/>
  <c r="P19" i="536"/>
  <c r="P77" i="536"/>
  <c r="P78" i="536"/>
  <c r="P79" i="536"/>
  <c r="P80" i="536"/>
  <c r="P81" i="536"/>
  <c r="P82" i="536"/>
  <c r="P83" i="536"/>
  <c r="P84" i="536"/>
  <c r="P85" i="536"/>
  <c r="P86" i="536"/>
  <c r="P87" i="536"/>
  <c r="P88" i="536"/>
  <c r="P89" i="536"/>
  <c r="P107" i="536"/>
  <c r="Q5" i="536"/>
  <c r="Q74" i="536"/>
  <c r="Q75" i="536"/>
  <c r="Q76" i="536"/>
  <c r="Q19" i="536"/>
  <c r="Q77" i="536"/>
  <c r="Q78" i="536"/>
  <c r="Q79" i="536"/>
  <c r="Q80" i="536"/>
  <c r="Q81" i="536"/>
  <c r="Q82" i="536"/>
  <c r="Q83" i="536"/>
  <c r="Q84" i="536"/>
  <c r="Q85" i="536"/>
  <c r="Q86" i="536"/>
  <c r="Q87" i="536"/>
  <c r="Q88" i="536"/>
  <c r="Q89" i="536"/>
  <c r="Q107" i="536"/>
  <c r="R5" i="536"/>
  <c r="R74" i="536"/>
  <c r="R75" i="536"/>
  <c r="R76" i="536"/>
  <c r="R19" i="536"/>
  <c r="R77" i="536"/>
  <c r="R78" i="536"/>
  <c r="R79" i="536"/>
  <c r="R80" i="536"/>
  <c r="R81" i="536"/>
  <c r="R82" i="536"/>
  <c r="R83" i="536"/>
  <c r="R84" i="536"/>
  <c r="R85" i="536"/>
  <c r="R86" i="536"/>
  <c r="R87" i="536"/>
  <c r="R88" i="536"/>
  <c r="R89" i="536"/>
  <c r="R107" i="536"/>
  <c r="M5" i="537"/>
  <c r="M74" i="537"/>
  <c r="M75" i="537"/>
  <c r="M76" i="537"/>
  <c r="H19" i="537"/>
  <c r="I19" i="537"/>
  <c r="J19" i="537"/>
  <c r="K19" i="537"/>
  <c r="L19" i="537"/>
  <c r="M19" i="537"/>
  <c r="M77" i="537"/>
  <c r="M78" i="537"/>
  <c r="M79" i="537"/>
  <c r="M80" i="537"/>
  <c r="M81" i="537"/>
  <c r="M82" i="537"/>
  <c r="M83" i="537"/>
  <c r="M84" i="537"/>
  <c r="M85" i="537"/>
  <c r="M86" i="537"/>
  <c r="M87" i="537"/>
  <c r="M88" i="537"/>
  <c r="M89" i="537"/>
  <c r="M107" i="537"/>
  <c r="N5" i="537"/>
  <c r="N74" i="537"/>
  <c r="N75" i="537"/>
  <c r="N76" i="537"/>
  <c r="N19" i="537"/>
  <c r="N77" i="537"/>
  <c r="N78" i="537"/>
  <c r="N79" i="537"/>
  <c r="N80" i="537"/>
  <c r="N81" i="537"/>
  <c r="N82" i="537"/>
  <c r="N83" i="537"/>
  <c r="N84" i="537"/>
  <c r="N85" i="537"/>
  <c r="N86" i="537"/>
  <c r="N87" i="537"/>
  <c r="N88" i="537"/>
  <c r="N89" i="537"/>
  <c r="N107" i="537"/>
  <c r="O5" i="537"/>
  <c r="O74" i="537"/>
  <c r="O75" i="537"/>
  <c r="O76" i="537"/>
  <c r="O19" i="537"/>
  <c r="O77" i="537"/>
  <c r="O78" i="537"/>
  <c r="O79" i="537"/>
  <c r="O80" i="537"/>
  <c r="O81" i="537"/>
  <c r="O82" i="537"/>
  <c r="O83" i="537"/>
  <c r="O84" i="537"/>
  <c r="O85" i="537"/>
  <c r="O86" i="537"/>
  <c r="O87" i="537"/>
  <c r="O88" i="537"/>
  <c r="O89" i="537"/>
  <c r="O107" i="537"/>
  <c r="P5" i="537"/>
  <c r="P74" i="537"/>
  <c r="P75" i="537"/>
  <c r="P76" i="537"/>
  <c r="P19" i="537"/>
  <c r="P77" i="537"/>
  <c r="P78" i="537"/>
  <c r="P79" i="537"/>
  <c r="P80" i="537"/>
  <c r="P81" i="537"/>
  <c r="P82" i="537"/>
  <c r="P83" i="537"/>
  <c r="P84" i="537"/>
  <c r="P85" i="537"/>
  <c r="P86" i="537"/>
  <c r="P87" i="537"/>
  <c r="P88" i="537"/>
  <c r="P89" i="537"/>
  <c r="P107" i="537"/>
  <c r="Q5" i="537"/>
  <c r="Q74" i="537"/>
  <c r="Q75" i="537"/>
  <c r="Q76" i="537"/>
  <c r="Q19" i="537"/>
  <c r="Q77" i="537"/>
  <c r="Q78" i="537"/>
  <c r="Q79" i="537"/>
  <c r="Q80" i="537"/>
  <c r="Q81" i="537"/>
  <c r="Q82" i="537"/>
  <c r="Q83" i="537"/>
  <c r="Q84" i="537"/>
  <c r="Q85" i="537"/>
  <c r="Q86" i="537"/>
  <c r="Q87" i="537"/>
  <c r="Q88" i="537"/>
  <c r="Q89" i="537"/>
  <c r="Q107" i="537"/>
  <c r="R5" i="537"/>
  <c r="R74" i="537"/>
  <c r="R75" i="537"/>
  <c r="R76" i="537"/>
  <c r="R19" i="537"/>
  <c r="R77" i="537"/>
  <c r="R78" i="537"/>
  <c r="R79" i="537"/>
  <c r="R80" i="537"/>
  <c r="R81" i="537"/>
  <c r="R82" i="537"/>
  <c r="R83" i="537"/>
  <c r="R84" i="537"/>
  <c r="R85" i="537"/>
  <c r="R86" i="537"/>
  <c r="R87" i="537"/>
  <c r="R88" i="537"/>
  <c r="R89" i="537"/>
  <c r="R107" i="537"/>
  <c r="M5" i="538"/>
  <c r="M74" i="538"/>
  <c r="M75" i="538"/>
  <c r="M76" i="538"/>
  <c r="H19" i="538"/>
  <c r="I19" i="538"/>
  <c r="J19" i="538"/>
  <c r="K19" i="538"/>
  <c r="L19" i="538"/>
  <c r="M19" i="538"/>
  <c r="M77" i="538"/>
  <c r="M78" i="538"/>
  <c r="M79" i="538"/>
  <c r="M80" i="538"/>
  <c r="M81" i="538"/>
  <c r="M82" i="538"/>
  <c r="M83" i="538"/>
  <c r="M84" i="538"/>
  <c r="M85" i="538"/>
  <c r="M86" i="538"/>
  <c r="M87" i="538"/>
  <c r="M88" i="538"/>
  <c r="M89" i="538"/>
  <c r="M107" i="538"/>
  <c r="N5" i="538"/>
  <c r="N74" i="538"/>
  <c r="N75" i="538"/>
  <c r="N76" i="538"/>
  <c r="N19" i="538"/>
  <c r="N77" i="538"/>
  <c r="N78" i="538"/>
  <c r="N79" i="538"/>
  <c r="N80" i="538"/>
  <c r="N81" i="538"/>
  <c r="N82" i="538"/>
  <c r="N83" i="538"/>
  <c r="N84" i="538"/>
  <c r="N85" i="538"/>
  <c r="N86" i="538"/>
  <c r="N87" i="538"/>
  <c r="N88" i="538"/>
  <c r="N89" i="538"/>
  <c r="N107" i="538"/>
  <c r="O5" i="538"/>
  <c r="O74" i="538"/>
  <c r="O75" i="538"/>
  <c r="O76" i="538"/>
  <c r="O19" i="538"/>
  <c r="O77" i="538"/>
  <c r="O78" i="538"/>
  <c r="O79" i="538"/>
  <c r="O80" i="538"/>
  <c r="O81" i="538"/>
  <c r="O82" i="538"/>
  <c r="O83" i="538"/>
  <c r="O84" i="538"/>
  <c r="O85" i="538"/>
  <c r="O86" i="538"/>
  <c r="O87" i="538"/>
  <c r="O88" i="538"/>
  <c r="O89" i="538"/>
  <c r="O107" i="538"/>
  <c r="P5" i="538"/>
  <c r="P74" i="538"/>
  <c r="P75" i="538"/>
  <c r="P76" i="538"/>
  <c r="P19" i="538"/>
  <c r="P77" i="538"/>
  <c r="P78" i="538"/>
  <c r="P79" i="538"/>
  <c r="P80" i="538"/>
  <c r="P81" i="538"/>
  <c r="P82" i="538"/>
  <c r="P83" i="538"/>
  <c r="P84" i="538"/>
  <c r="P85" i="538"/>
  <c r="P86" i="538"/>
  <c r="P87" i="538"/>
  <c r="P88" i="538"/>
  <c r="P89" i="538"/>
  <c r="P107" i="538"/>
  <c r="Q5" i="538"/>
  <c r="Q74" i="538"/>
  <c r="Q75" i="538"/>
  <c r="Q76" i="538"/>
  <c r="Q19" i="538"/>
  <c r="Q77" i="538"/>
  <c r="Q78" i="538"/>
  <c r="Q79" i="538"/>
  <c r="Q80" i="538"/>
  <c r="Q81" i="538"/>
  <c r="Q82" i="538"/>
  <c r="Q83" i="538"/>
  <c r="Q84" i="538"/>
  <c r="Q85" i="538"/>
  <c r="Q86" i="538"/>
  <c r="Q87" i="538"/>
  <c r="Q88" i="538"/>
  <c r="Q89" i="538"/>
  <c r="Q107" i="538"/>
  <c r="R5" i="538"/>
  <c r="R74" i="538"/>
  <c r="R75" i="538"/>
  <c r="R76" i="538"/>
  <c r="R19" i="538"/>
  <c r="R77" i="538"/>
  <c r="R78" i="538"/>
  <c r="R79" i="538"/>
  <c r="R80" i="538"/>
  <c r="R81" i="538"/>
  <c r="R82" i="538"/>
  <c r="R83" i="538"/>
  <c r="R84" i="538"/>
  <c r="R85" i="538"/>
  <c r="R86" i="538"/>
  <c r="R87" i="538"/>
  <c r="R88" i="538"/>
  <c r="R89" i="538"/>
  <c r="R107" i="538"/>
  <c r="M5" i="539"/>
  <c r="M74" i="539"/>
  <c r="M75" i="539"/>
  <c r="M76" i="539"/>
  <c r="H19" i="539"/>
  <c r="I19" i="539"/>
  <c r="J19" i="539"/>
  <c r="K19" i="539"/>
  <c r="L19" i="539"/>
  <c r="M19" i="539"/>
  <c r="M77" i="539"/>
  <c r="M78" i="539"/>
  <c r="M79" i="539"/>
  <c r="M80" i="539"/>
  <c r="M81" i="539"/>
  <c r="M82" i="539"/>
  <c r="M83" i="539"/>
  <c r="M84" i="539"/>
  <c r="M85" i="539"/>
  <c r="M86" i="539"/>
  <c r="M87" i="539"/>
  <c r="M88" i="539"/>
  <c r="M89" i="539"/>
  <c r="M107" i="539"/>
  <c r="N5" i="539"/>
  <c r="N74" i="539"/>
  <c r="N75" i="539"/>
  <c r="N76" i="539"/>
  <c r="N19" i="539"/>
  <c r="N77" i="539"/>
  <c r="N78" i="539"/>
  <c r="N79" i="539"/>
  <c r="N80" i="539"/>
  <c r="N81" i="539"/>
  <c r="N82" i="539"/>
  <c r="N83" i="539"/>
  <c r="N84" i="539"/>
  <c r="N85" i="539"/>
  <c r="N86" i="539"/>
  <c r="N87" i="539"/>
  <c r="N88" i="539"/>
  <c r="N89" i="539"/>
  <c r="N107" i="539"/>
  <c r="O5" i="539"/>
  <c r="O74" i="539"/>
  <c r="O75" i="539"/>
  <c r="O76" i="539"/>
  <c r="O19" i="539"/>
  <c r="O77" i="539"/>
  <c r="O78" i="539"/>
  <c r="O79" i="539"/>
  <c r="O80" i="539"/>
  <c r="O81" i="539"/>
  <c r="O82" i="539"/>
  <c r="O83" i="539"/>
  <c r="O84" i="539"/>
  <c r="O85" i="539"/>
  <c r="O86" i="539"/>
  <c r="O87" i="539"/>
  <c r="O88" i="539"/>
  <c r="O89" i="539"/>
  <c r="O107" i="539"/>
  <c r="P5" i="539"/>
  <c r="P74" i="539"/>
  <c r="P75" i="539"/>
  <c r="P76" i="539"/>
  <c r="P19" i="539"/>
  <c r="P77" i="539"/>
  <c r="P78" i="539"/>
  <c r="P79" i="539"/>
  <c r="P80" i="539"/>
  <c r="P81" i="539"/>
  <c r="P82" i="539"/>
  <c r="P83" i="539"/>
  <c r="P84" i="539"/>
  <c r="P85" i="539"/>
  <c r="P86" i="539"/>
  <c r="P87" i="539"/>
  <c r="P88" i="539"/>
  <c r="P89" i="539"/>
  <c r="P107" i="539"/>
  <c r="Q5" i="539"/>
  <c r="Q74" i="539"/>
  <c r="Q75" i="539"/>
  <c r="Q76" i="539"/>
  <c r="Q19" i="539"/>
  <c r="Q77" i="539"/>
  <c r="Q78" i="539"/>
  <c r="Q79" i="539"/>
  <c r="Q80" i="539"/>
  <c r="Q81" i="539"/>
  <c r="Q82" i="539"/>
  <c r="Q83" i="539"/>
  <c r="Q84" i="539"/>
  <c r="Q85" i="539"/>
  <c r="Q86" i="539"/>
  <c r="Q87" i="539"/>
  <c r="Q88" i="539"/>
  <c r="Q89" i="539"/>
  <c r="Q107" i="539"/>
  <c r="R5" i="539"/>
  <c r="R74" i="539"/>
  <c r="R75" i="539"/>
  <c r="R76" i="539"/>
  <c r="R19" i="539"/>
  <c r="R77" i="539"/>
  <c r="R78" i="539"/>
  <c r="R79" i="539"/>
  <c r="R80" i="539"/>
  <c r="R81" i="539"/>
  <c r="R82" i="539"/>
  <c r="R83" i="539"/>
  <c r="R84" i="539"/>
  <c r="R85" i="539"/>
  <c r="R86" i="539"/>
  <c r="R87" i="539"/>
  <c r="R88" i="539"/>
  <c r="R89" i="539"/>
  <c r="R107" i="539"/>
  <c r="M5" i="540"/>
  <c r="M74" i="540"/>
  <c r="M75" i="540"/>
  <c r="M76" i="540"/>
  <c r="H19" i="540"/>
  <c r="I19" i="540"/>
  <c r="J19" i="540"/>
  <c r="K19" i="540"/>
  <c r="L19" i="540"/>
  <c r="M19" i="540"/>
  <c r="M77" i="540"/>
  <c r="M78" i="540"/>
  <c r="M79" i="540"/>
  <c r="M80" i="540"/>
  <c r="M81" i="540"/>
  <c r="M82" i="540"/>
  <c r="M83" i="540"/>
  <c r="M84" i="540"/>
  <c r="M85" i="540"/>
  <c r="M86" i="540"/>
  <c r="M87" i="540"/>
  <c r="M88" i="540"/>
  <c r="M89" i="540"/>
  <c r="M107" i="540"/>
  <c r="N5" i="540"/>
  <c r="N74" i="540"/>
  <c r="N75" i="540"/>
  <c r="N76" i="540"/>
  <c r="N19" i="540"/>
  <c r="N77" i="540"/>
  <c r="N78" i="540"/>
  <c r="N79" i="540"/>
  <c r="N80" i="540"/>
  <c r="N81" i="540"/>
  <c r="N82" i="540"/>
  <c r="N83" i="540"/>
  <c r="N84" i="540"/>
  <c r="N85" i="540"/>
  <c r="N86" i="540"/>
  <c r="N87" i="540"/>
  <c r="N88" i="540"/>
  <c r="N89" i="540"/>
  <c r="N107" i="540"/>
  <c r="O5" i="540"/>
  <c r="O74" i="540"/>
  <c r="O75" i="540"/>
  <c r="O76" i="540"/>
  <c r="O19" i="540"/>
  <c r="O77" i="540"/>
  <c r="O78" i="540"/>
  <c r="O79" i="540"/>
  <c r="O80" i="540"/>
  <c r="O81" i="540"/>
  <c r="O82" i="540"/>
  <c r="O83" i="540"/>
  <c r="O84" i="540"/>
  <c r="O85" i="540"/>
  <c r="O86" i="540"/>
  <c r="O87" i="540"/>
  <c r="O88" i="540"/>
  <c r="O89" i="540"/>
  <c r="O107" i="540"/>
  <c r="P5" i="540"/>
  <c r="P74" i="540"/>
  <c r="P75" i="540"/>
  <c r="P76" i="540"/>
  <c r="P19" i="540"/>
  <c r="P77" i="540"/>
  <c r="P78" i="540"/>
  <c r="P79" i="540"/>
  <c r="P80" i="540"/>
  <c r="P81" i="540"/>
  <c r="P82" i="540"/>
  <c r="P83" i="540"/>
  <c r="P84" i="540"/>
  <c r="P85" i="540"/>
  <c r="P86" i="540"/>
  <c r="P87" i="540"/>
  <c r="P88" i="540"/>
  <c r="P89" i="540"/>
  <c r="P107" i="540"/>
  <c r="Q5" i="540"/>
  <c r="Q74" i="540"/>
  <c r="Q75" i="540"/>
  <c r="Q76" i="540"/>
  <c r="Q19" i="540"/>
  <c r="Q77" i="540"/>
  <c r="Q78" i="540"/>
  <c r="Q79" i="540"/>
  <c r="Q80" i="540"/>
  <c r="Q81" i="540"/>
  <c r="Q82" i="540"/>
  <c r="Q83" i="540"/>
  <c r="Q84" i="540"/>
  <c r="Q85" i="540"/>
  <c r="Q86" i="540"/>
  <c r="Q87" i="540"/>
  <c r="Q88" i="540"/>
  <c r="Q89" i="540"/>
  <c r="Q107" i="540"/>
  <c r="R5" i="540"/>
  <c r="R74" i="540"/>
  <c r="R75" i="540"/>
  <c r="R76" i="540"/>
  <c r="R19" i="540"/>
  <c r="R77" i="540"/>
  <c r="R78" i="540"/>
  <c r="R79" i="540"/>
  <c r="R80" i="540"/>
  <c r="R81" i="540"/>
  <c r="R82" i="540"/>
  <c r="R83" i="540"/>
  <c r="R84" i="540"/>
  <c r="R85" i="540"/>
  <c r="R86" i="540"/>
  <c r="R87" i="540"/>
  <c r="R88" i="540"/>
  <c r="R89" i="540"/>
  <c r="R107" i="540"/>
  <c r="M5" i="541"/>
  <c r="M74" i="541"/>
  <c r="M75" i="541"/>
  <c r="M76" i="541"/>
  <c r="H19" i="541"/>
  <c r="I19" i="541"/>
  <c r="J19" i="541"/>
  <c r="K19" i="541"/>
  <c r="L19" i="541"/>
  <c r="M19" i="541"/>
  <c r="M77" i="541"/>
  <c r="M78" i="541"/>
  <c r="M79" i="541"/>
  <c r="M80" i="541"/>
  <c r="M81" i="541"/>
  <c r="M82" i="541"/>
  <c r="M83" i="541"/>
  <c r="M84" i="541"/>
  <c r="M85" i="541"/>
  <c r="M86" i="541"/>
  <c r="M87" i="541"/>
  <c r="M88" i="541"/>
  <c r="M89" i="541"/>
  <c r="M107" i="541"/>
  <c r="N5" i="541"/>
  <c r="N74" i="541"/>
  <c r="N75" i="541"/>
  <c r="N76" i="541"/>
  <c r="N19" i="541"/>
  <c r="N77" i="541"/>
  <c r="N78" i="541"/>
  <c r="N79" i="541"/>
  <c r="N80" i="541"/>
  <c r="N81" i="541"/>
  <c r="N82" i="541"/>
  <c r="N83" i="541"/>
  <c r="N84" i="541"/>
  <c r="N85" i="541"/>
  <c r="N86" i="541"/>
  <c r="N87" i="541"/>
  <c r="N88" i="541"/>
  <c r="N89" i="541"/>
  <c r="N107" i="541"/>
  <c r="O5" i="541"/>
  <c r="O74" i="541"/>
  <c r="O75" i="541"/>
  <c r="O76" i="541"/>
  <c r="O19" i="541"/>
  <c r="O77" i="541"/>
  <c r="O78" i="541"/>
  <c r="O79" i="541"/>
  <c r="O80" i="541"/>
  <c r="O81" i="541"/>
  <c r="O82" i="541"/>
  <c r="O83" i="541"/>
  <c r="O84" i="541"/>
  <c r="O85" i="541"/>
  <c r="O86" i="541"/>
  <c r="O87" i="541"/>
  <c r="O88" i="541"/>
  <c r="O89" i="541"/>
  <c r="O107" i="541"/>
  <c r="P5" i="541"/>
  <c r="P74" i="541"/>
  <c r="P75" i="541"/>
  <c r="P76" i="541"/>
  <c r="P19" i="541"/>
  <c r="P77" i="541"/>
  <c r="P78" i="541"/>
  <c r="P79" i="541"/>
  <c r="P80" i="541"/>
  <c r="P81" i="541"/>
  <c r="P82" i="541"/>
  <c r="P83" i="541"/>
  <c r="P84" i="541"/>
  <c r="P85" i="541"/>
  <c r="P86" i="541"/>
  <c r="P87" i="541"/>
  <c r="P88" i="541"/>
  <c r="P89" i="541"/>
  <c r="P107" i="541"/>
  <c r="Q5" i="541"/>
  <c r="Q74" i="541"/>
  <c r="Q75" i="541"/>
  <c r="Q76" i="541"/>
  <c r="Q19" i="541"/>
  <c r="Q77" i="541"/>
  <c r="Q78" i="541"/>
  <c r="Q79" i="541"/>
  <c r="Q80" i="541"/>
  <c r="Q81" i="541"/>
  <c r="Q82" i="541"/>
  <c r="Q83" i="541"/>
  <c r="Q84" i="541"/>
  <c r="Q85" i="541"/>
  <c r="Q86" i="541"/>
  <c r="Q87" i="541"/>
  <c r="Q88" i="541"/>
  <c r="Q89" i="541"/>
  <c r="Q107" i="541"/>
  <c r="R5" i="541"/>
  <c r="R74" i="541"/>
  <c r="R75" i="541"/>
  <c r="R76" i="541"/>
  <c r="R19" i="541"/>
  <c r="R77" i="541"/>
  <c r="R78" i="541"/>
  <c r="R79" i="541"/>
  <c r="R80" i="541"/>
  <c r="R81" i="541"/>
  <c r="R82" i="541"/>
  <c r="R83" i="541"/>
  <c r="R84" i="541"/>
  <c r="R85" i="541"/>
  <c r="R86" i="541"/>
  <c r="R87" i="541"/>
  <c r="R88" i="541"/>
  <c r="R89" i="541"/>
  <c r="R107" i="541"/>
  <c r="M5" i="542"/>
  <c r="M74" i="542"/>
  <c r="M75" i="542"/>
  <c r="M76" i="542"/>
  <c r="H19" i="542"/>
  <c r="I19" i="542"/>
  <c r="J19" i="542"/>
  <c r="K19" i="542"/>
  <c r="L19" i="542"/>
  <c r="M19" i="542"/>
  <c r="M77" i="542"/>
  <c r="M78" i="542"/>
  <c r="M79" i="542"/>
  <c r="M80" i="542"/>
  <c r="M81" i="542"/>
  <c r="M82" i="542"/>
  <c r="M83" i="542"/>
  <c r="M84" i="542"/>
  <c r="M85" i="542"/>
  <c r="M86" i="542"/>
  <c r="M87" i="542"/>
  <c r="M88" i="542"/>
  <c r="M89" i="542"/>
  <c r="M107" i="542"/>
  <c r="N5" i="542"/>
  <c r="N74" i="542"/>
  <c r="N75" i="542"/>
  <c r="N76" i="542"/>
  <c r="N19" i="542"/>
  <c r="N77" i="542"/>
  <c r="N78" i="542"/>
  <c r="N79" i="542"/>
  <c r="N80" i="542"/>
  <c r="N81" i="542"/>
  <c r="N82" i="542"/>
  <c r="N83" i="542"/>
  <c r="N84" i="542"/>
  <c r="N85" i="542"/>
  <c r="N86" i="542"/>
  <c r="N87" i="542"/>
  <c r="N88" i="542"/>
  <c r="N89" i="542"/>
  <c r="N107" i="542"/>
  <c r="O5" i="542"/>
  <c r="O74" i="542"/>
  <c r="O75" i="542"/>
  <c r="O76" i="542"/>
  <c r="O19" i="542"/>
  <c r="O77" i="542"/>
  <c r="O78" i="542"/>
  <c r="O79" i="542"/>
  <c r="O80" i="542"/>
  <c r="O81" i="542"/>
  <c r="O82" i="542"/>
  <c r="O83" i="542"/>
  <c r="O84" i="542"/>
  <c r="O85" i="542"/>
  <c r="O86" i="542"/>
  <c r="O87" i="542"/>
  <c r="O88" i="542"/>
  <c r="O89" i="542"/>
  <c r="O107" i="542"/>
  <c r="P5" i="542"/>
  <c r="P74" i="542"/>
  <c r="P75" i="542"/>
  <c r="P76" i="542"/>
  <c r="P19" i="542"/>
  <c r="P77" i="542"/>
  <c r="P78" i="542"/>
  <c r="P79" i="542"/>
  <c r="P80" i="542"/>
  <c r="P81" i="542"/>
  <c r="P82" i="542"/>
  <c r="P83" i="542"/>
  <c r="P84" i="542"/>
  <c r="P85" i="542"/>
  <c r="P86" i="542"/>
  <c r="P87" i="542"/>
  <c r="P88" i="542"/>
  <c r="P89" i="542"/>
  <c r="P107" i="542"/>
  <c r="Q5" i="542"/>
  <c r="Q74" i="542"/>
  <c r="Q75" i="542"/>
  <c r="Q76" i="542"/>
  <c r="Q19" i="542"/>
  <c r="Q77" i="542"/>
  <c r="Q78" i="542"/>
  <c r="Q79" i="542"/>
  <c r="Q80" i="542"/>
  <c r="Q81" i="542"/>
  <c r="Q82" i="542"/>
  <c r="Q83" i="542"/>
  <c r="Q84" i="542"/>
  <c r="Q85" i="542"/>
  <c r="Q86" i="542"/>
  <c r="Q87" i="542"/>
  <c r="Q88" i="542"/>
  <c r="Q89" i="542"/>
  <c r="Q107" i="542"/>
  <c r="R5" i="542"/>
  <c r="R74" i="542"/>
  <c r="R75" i="542"/>
  <c r="R76" i="542"/>
  <c r="R19" i="542"/>
  <c r="R77" i="542"/>
  <c r="R78" i="542"/>
  <c r="R79" i="542"/>
  <c r="R80" i="542"/>
  <c r="R81" i="542"/>
  <c r="R82" i="542"/>
  <c r="R83" i="542"/>
  <c r="R84" i="542"/>
  <c r="R85" i="542"/>
  <c r="R86" i="542"/>
  <c r="R87" i="542"/>
  <c r="R88" i="542"/>
  <c r="R89" i="542"/>
  <c r="R107" i="542"/>
  <c r="M5" i="543"/>
  <c r="M74" i="543"/>
  <c r="M75" i="543"/>
  <c r="M76" i="543"/>
  <c r="H19" i="543"/>
  <c r="I19" i="543"/>
  <c r="J19" i="543"/>
  <c r="K19" i="543"/>
  <c r="L19" i="543"/>
  <c r="M19" i="543"/>
  <c r="M77" i="543"/>
  <c r="M78" i="543"/>
  <c r="M79" i="543"/>
  <c r="M80" i="543"/>
  <c r="M81" i="543"/>
  <c r="M82" i="543"/>
  <c r="M83" i="543"/>
  <c r="M84" i="543"/>
  <c r="M85" i="543"/>
  <c r="M86" i="543"/>
  <c r="M87" i="543"/>
  <c r="M88" i="543"/>
  <c r="M89" i="543"/>
  <c r="M107" i="543"/>
  <c r="N5" i="543"/>
  <c r="N74" i="543"/>
  <c r="N75" i="543"/>
  <c r="N76" i="543"/>
  <c r="N19" i="543"/>
  <c r="N77" i="543"/>
  <c r="N78" i="543"/>
  <c r="N79" i="543"/>
  <c r="N80" i="543"/>
  <c r="N81" i="543"/>
  <c r="N82" i="543"/>
  <c r="N83" i="543"/>
  <c r="N84" i="543"/>
  <c r="N85" i="543"/>
  <c r="N86" i="543"/>
  <c r="N87" i="543"/>
  <c r="N88" i="543"/>
  <c r="N89" i="543"/>
  <c r="N107" i="543"/>
  <c r="O5" i="543"/>
  <c r="O74" i="543"/>
  <c r="O75" i="543"/>
  <c r="O76" i="543"/>
  <c r="O19" i="543"/>
  <c r="O77" i="543"/>
  <c r="O78" i="543"/>
  <c r="O79" i="543"/>
  <c r="O80" i="543"/>
  <c r="O81" i="543"/>
  <c r="O82" i="543"/>
  <c r="O83" i="543"/>
  <c r="O84" i="543"/>
  <c r="O85" i="543"/>
  <c r="O86" i="543"/>
  <c r="O87" i="543"/>
  <c r="O88" i="543"/>
  <c r="O89" i="543"/>
  <c r="O107" i="543"/>
  <c r="P5" i="543"/>
  <c r="P74" i="543"/>
  <c r="P75" i="543"/>
  <c r="P76" i="543"/>
  <c r="P19" i="543"/>
  <c r="P77" i="543"/>
  <c r="P78" i="543"/>
  <c r="P79" i="543"/>
  <c r="P80" i="543"/>
  <c r="P81" i="543"/>
  <c r="P82" i="543"/>
  <c r="P83" i="543"/>
  <c r="P84" i="543"/>
  <c r="P85" i="543"/>
  <c r="P86" i="543"/>
  <c r="P87" i="543"/>
  <c r="P88" i="543"/>
  <c r="P89" i="543"/>
  <c r="P107" i="543"/>
  <c r="Q5" i="543"/>
  <c r="Q74" i="543"/>
  <c r="Q75" i="543"/>
  <c r="Q76" i="543"/>
  <c r="Q19" i="543"/>
  <c r="Q77" i="543"/>
  <c r="Q78" i="543"/>
  <c r="Q79" i="543"/>
  <c r="Q80" i="543"/>
  <c r="Q81" i="543"/>
  <c r="Q82" i="543"/>
  <c r="Q83" i="543"/>
  <c r="Q84" i="543"/>
  <c r="Q85" i="543"/>
  <c r="Q86" i="543"/>
  <c r="Q87" i="543"/>
  <c r="Q88" i="543"/>
  <c r="Q89" i="543"/>
  <c r="Q107" i="543"/>
  <c r="R5" i="543"/>
  <c r="R74" i="543"/>
  <c r="R75" i="543"/>
  <c r="R76" i="543"/>
  <c r="R19" i="543"/>
  <c r="R77" i="543"/>
  <c r="R78" i="543"/>
  <c r="R79" i="543"/>
  <c r="R80" i="543"/>
  <c r="R81" i="543"/>
  <c r="R82" i="543"/>
  <c r="R83" i="543"/>
  <c r="R84" i="543"/>
  <c r="R85" i="543"/>
  <c r="R86" i="543"/>
  <c r="R87" i="543"/>
  <c r="R88" i="543"/>
  <c r="R89" i="543"/>
  <c r="R107" i="543"/>
  <c r="M5" i="544"/>
  <c r="M74" i="544"/>
  <c r="M75" i="544"/>
  <c r="M76" i="544"/>
  <c r="H19" i="544"/>
  <c r="I19" i="544"/>
  <c r="J19" i="544"/>
  <c r="K19" i="544"/>
  <c r="L19" i="544"/>
  <c r="M19" i="544"/>
  <c r="M77" i="544"/>
  <c r="M78" i="544"/>
  <c r="M79" i="544"/>
  <c r="M80" i="544"/>
  <c r="M81" i="544"/>
  <c r="M82" i="544"/>
  <c r="M83" i="544"/>
  <c r="M84" i="544"/>
  <c r="M85" i="544"/>
  <c r="M86" i="544"/>
  <c r="M87" i="544"/>
  <c r="M88" i="544"/>
  <c r="M89" i="544"/>
  <c r="M107" i="544"/>
  <c r="N5" i="544"/>
  <c r="N74" i="544"/>
  <c r="N75" i="544"/>
  <c r="N76" i="544"/>
  <c r="N19" i="544"/>
  <c r="N77" i="544"/>
  <c r="N78" i="544"/>
  <c r="N79" i="544"/>
  <c r="N80" i="544"/>
  <c r="N81" i="544"/>
  <c r="N82" i="544"/>
  <c r="N83" i="544"/>
  <c r="N84" i="544"/>
  <c r="N85" i="544"/>
  <c r="N86" i="544"/>
  <c r="N87" i="544"/>
  <c r="N88" i="544"/>
  <c r="N89" i="544"/>
  <c r="N107" i="544"/>
  <c r="O5" i="544"/>
  <c r="O74" i="544"/>
  <c r="O75" i="544"/>
  <c r="O76" i="544"/>
  <c r="O19" i="544"/>
  <c r="O77" i="544"/>
  <c r="O78" i="544"/>
  <c r="O79" i="544"/>
  <c r="O80" i="544"/>
  <c r="O81" i="544"/>
  <c r="O82" i="544"/>
  <c r="O83" i="544"/>
  <c r="O84" i="544"/>
  <c r="O85" i="544"/>
  <c r="O86" i="544"/>
  <c r="O87" i="544"/>
  <c r="O88" i="544"/>
  <c r="O89" i="544"/>
  <c r="O107" i="544"/>
  <c r="P5" i="544"/>
  <c r="P74" i="544"/>
  <c r="P75" i="544"/>
  <c r="P76" i="544"/>
  <c r="P19" i="544"/>
  <c r="P77" i="544"/>
  <c r="P78" i="544"/>
  <c r="P79" i="544"/>
  <c r="P80" i="544"/>
  <c r="P81" i="544"/>
  <c r="P82" i="544"/>
  <c r="P83" i="544"/>
  <c r="P84" i="544"/>
  <c r="P85" i="544"/>
  <c r="P86" i="544"/>
  <c r="P87" i="544"/>
  <c r="P88" i="544"/>
  <c r="P89" i="544"/>
  <c r="P107" i="544"/>
  <c r="Q5" i="544"/>
  <c r="Q74" i="544"/>
  <c r="Q75" i="544"/>
  <c r="Q76" i="544"/>
  <c r="Q19" i="544"/>
  <c r="Q77" i="544"/>
  <c r="Q78" i="544"/>
  <c r="Q79" i="544"/>
  <c r="Q80" i="544"/>
  <c r="Q81" i="544"/>
  <c r="Q82" i="544"/>
  <c r="Q83" i="544"/>
  <c r="Q84" i="544"/>
  <c r="Q85" i="544"/>
  <c r="Q86" i="544"/>
  <c r="Q87" i="544"/>
  <c r="Q88" i="544"/>
  <c r="Q89" i="544"/>
  <c r="Q107" i="544"/>
  <c r="R5" i="544"/>
  <c r="R74" i="544"/>
  <c r="R75" i="544"/>
  <c r="R76" i="544"/>
  <c r="R19" i="544"/>
  <c r="R77" i="544"/>
  <c r="R78" i="544"/>
  <c r="R79" i="544"/>
  <c r="R80" i="544"/>
  <c r="R81" i="544"/>
  <c r="R82" i="544"/>
  <c r="R83" i="544"/>
  <c r="R84" i="544"/>
  <c r="R85" i="544"/>
  <c r="R86" i="544"/>
  <c r="R87" i="544"/>
  <c r="R88" i="544"/>
  <c r="R89" i="544"/>
  <c r="R107" i="544"/>
  <c r="M5" i="545"/>
  <c r="M74" i="545"/>
  <c r="M75" i="545"/>
  <c r="M76" i="545"/>
  <c r="H19" i="545"/>
  <c r="I19" i="545"/>
  <c r="J19" i="545"/>
  <c r="K19" i="545"/>
  <c r="L19" i="545"/>
  <c r="M19" i="545"/>
  <c r="M77" i="545"/>
  <c r="M78" i="545"/>
  <c r="M79" i="545"/>
  <c r="M80" i="545"/>
  <c r="M81" i="545"/>
  <c r="M82" i="545"/>
  <c r="M83" i="545"/>
  <c r="M84" i="545"/>
  <c r="M85" i="545"/>
  <c r="M86" i="545"/>
  <c r="M87" i="545"/>
  <c r="M88" i="545"/>
  <c r="M89" i="545"/>
  <c r="M107" i="545"/>
  <c r="N5" i="545"/>
  <c r="N74" i="545"/>
  <c r="N75" i="545"/>
  <c r="N76" i="545"/>
  <c r="N19" i="545"/>
  <c r="N77" i="545"/>
  <c r="N78" i="545"/>
  <c r="N79" i="545"/>
  <c r="N80" i="545"/>
  <c r="N81" i="545"/>
  <c r="N82" i="545"/>
  <c r="N83" i="545"/>
  <c r="N84" i="545"/>
  <c r="N85" i="545"/>
  <c r="N86" i="545"/>
  <c r="N87" i="545"/>
  <c r="N88" i="545"/>
  <c r="N89" i="545"/>
  <c r="N107" i="545"/>
  <c r="O5" i="545"/>
  <c r="O74" i="545"/>
  <c r="O75" i="545"/>
  <c r="O76" i="545"/>
  <c r="O19" i="545"/>
  <c r="O77" i="545"/>
  <c r="O78" i="545"/>
  <c r="O79" i="545"/>
  <c r="O80" i="545"/>
  <c r="O81" i="545"/>
  <c r="O82" i="545"/>
  <c r="O83" i="545"/>
  <c r="O84" i="545"/>
  <c r="O85" i="545"/>
  <c r="O86" i="545"/>
  <c r="O87" i="545"/>
  <c r="O88" i="545"/>
  <c r="O89" i="545"/>
  <c r="O107" i="545"/>
  <c r="P5" i="545"/>
  <c r="P74" i="545"/>
  <c r="P75" i="545"/>
  <c r="P76" i="545"/>
  <c r="P19" i="545"/>
  <c r="P77" i="545"/>
  <c r="P78" i="545"/>
  <c r="P79" i="545"/>
  <c r="P80" i="545"/>
  <c r="P81" i="545"/>
  <c r="P82" i="545"/>
  <c r="P83" i="545"/>
  <c r="P84" i="545"/>
  <c r="P85" i="545"/>
  <c r="P86" i="545"/>
  <c r="P87" i="545"/>
  <c r="P88" i="545"/>
  <c r="P89" i="545"/>
  <c r="P107" i="545"/>
  <c r="Q5" i="545"/>
  <c r="Q74" i="545"/>
  <c r="Q75" i="545"/>
  <c r="Q76" i="545"/>
  <c r="Q19" i="545"/>
  <c r="Q77" i="545"/>
  <c r="Q78" i="545"/>
  <c r="Q79" i="545"/>
  <c r="Q80" i="545"/>
  <c r="Q81" i="545"/>
  <c r="Q82" i="545"/>
  <c r="Q83" i="545"/>
  <c r="Q84" i="545"/>
  <c r="Q85" i="545"/>
  <c r="Q86" i="545"/>
  <c r="Q87" i="545"/>
  <c r="Q88" i="545"/>
  <c r="Q89" i="545"/>
  <c r="Q107" i="545"/>
  <c r="R5" i="545"/>
  <c r="R74" i="545"/>
  <c r="R75" i="545"/>
  <c r="R76" i="545"/>
  <c r="R19" i="545"/>
  <c r="R77" i="545"/>
  <c r="R78" i="545"/>
  <c r="R79" i="545"/>
  <c r="R80" i="545"/>
  <c r="R81" i="545"/>
  <c r="R82" i="545"/>
  <c r="R83" i="545"/>
  <c r="R84" i="545"/>
  <c r="R85" i="545"/>
  <c r="R86" i="545"/>
  <c r="R87" i="545"/>
  <c r="R88" i="545"/>
  <c r="R89" i="545"/>
  <c r="R107" i="545"/>
  <c r="M107" i="270"/>
  <c r="N107" i="270"/>
  <c r="O107" i="270"/>
  <c r="P107" i="270"/>
  <c r="Q107" i="270"/>
  <c r="R107" i="270"/>
  <c r="L5" i="531"/>
  <c r="L74" i="531"/>
  <c r="L75" i="531"/>
  <c r="L76" i="531"/>
  <c r="L77" i="531"/>
  <c r="L78" i="531"/>
  <c r="L79" i="531"/>
  <c r="L80" i="531"/>
  <c r="L81" i="531"/>
  <c r="L82" i="531"/>
  <c r="L83" i="531"/>
  <c r="L84" i="531"/>
  <c r="L85" i="531"/>
  <c r="L86" i="531"/>
  <c r="L87" i="531"/>
  <c r="L88" i="531"/>
  <c r="L89" i="531"/>
  <c r="L107" i="531"/>
  <c r="L5" i="532"/>
  <c r="L74" i="532"/>
  <c r="L75" i="532"/>
  <c r="L76" i="532"/>
  <c r="L77" i="532"/>
  <c r="L78" i="532"/>
  <c r="L79" i="532"/>
  <c r="L80" i="532"/>
  <c r="L81" i="532"/>
  <c r="L82" i="532"/>
  <c r="L83" i="532"/>
  <c r="L84" i="532"/>
  <c r="L85" i="532"/>
  <c r="L86" i="532"/>
  <c r="L87" i="532"/>
  <c r="L88" i="532"/>
  <c r="L89" i="532"/>
  <c r="L107" i="532"/>
  <c r="L5" i="533"/>
  <c r="L74" i="533"/>
  <c r="L75" i="533"/>
  <c r="L76" i="533"/>
  <c r="L77" i="533"/>
  <c r="L78" i="533"/>
  <c r="L79" i="533"/>
  <c r="L80" i="533"/>
  <c r="L81" i="533"/>
  <c r="L82" i="533"/>
  <c r="L83" i="533"/>
  <c r="L84" i="533"/>
  <c r="L85" i="533"/>
  <c r="L86" i="533"/>
  <c r="L87" i="533"/>
  <c r="L88" i="533"/>
  <c r="L89" i="533"/>
  <c r="L107" i="533"/>
  <c r="L5" i="534"/>
  <c r="L74" i="534"/>
  <c r="L75" i="534"/>
  <c r="L76" i="534"/>
  <c r="L77" i="534"/>
  <c r="L78" i="534"/>
  <c r="L79" i="534"/>
  <c r="L80" i="534"/>
  <c r="L81" i="534"/>
  <c r="L82" i="534"/>
  <c r="L83" i="534"/>
  <c r="L84" i="534"/>
  <c r="L85" i="534"/>
  <c r="L86" i="534"/>
  <c r="L87" i="534"/>
  <c r="L88" i="534"/>
  <c r="L89" i="534"/>
  <c r="L107" i="534"/>
  <c r="L5" i="535"/>
  <c r="L74" i="535"/>
  <c r="L75" i="535"/>
  <c r="L76" i="535"/>
  <c r="L77" i="535"/>
  <c r="L78" i="535"/>
  <c r="L79" i="535"/>
  <c r="L80" i="535"/>
  <c r="L81" i="535"/>
  <c r="L82" i="535"/>
  <c r="L83" i="535"/>
  <c r="L84" i="535"/>
  <c r="L85" i="535"/>
  <c r="L86" i="535"/>
  <c r="L87" i="535"/>
  <c r="L88" i="535"/>
  <c r="L89" i="535"/>
  <c r="L107" i="535"/>
  <c r="L5" i="536"/>
  <c r="L74" i="536"/>
  <c r="L75" i="536"/>
  <c r="L76" i="536"/>
  <c r="L77" i="536"/>
  <c r="L78" i="536"/>
  <c r="L79" i="536"/>
  <c r="L80" i="536"/>
  <c r="L81" i="536"/>
  <c r="L82" i="536"/>
  <c r="L83" i="536"/>
  <c r="L84" i="536"/>
  <c r="L85" i="536"/>
  <c r="L86" i="536"/>
  <c r="L87" i="536"/>
  <c r="L88" i="536"/>
  <c r="L89" i="536"/>
  <c r="L107" i="536"/>
  <c r="L5" i="537"/>
  <c r="L74" i="537"/>
  <c r="L75" i="537"/>
  <c r="L76" i="537"/>
  <c r="L77" i="537"/>
  <c r="L78" i="537"/>
  <c r="L79" i="537"/>
  <c r="L80" i="537"/>
  <c r="L81" i="537"/>
  <c r="L82" i="537"/>
  <c r="L83" i="537"/>
  <c r="L84" i="537"/>
  <c r="L85" i="537"/>
  <c r="L86" i="537"/>
  <c r="L87" i="537"/>
  <c r="L88" i="537"/>
  <c r="L89" i="537"/>
  <c r="L107" i="537"/>
  <c r="L5" i="538"/>
  <c r="L74" i="538"/>
  <c r="L75" i="538"/>
  <c r="L76" i="538"/>
  <c r="L77" i="538"/>
  <c r="L78" i="538"/>
  <c r="L79" i="538"/>
  <c r="L80" i="538"/>
  <c r="L81" i="538"/>
  <c r="L82" i="538"/>
  <c r="L83" i="538"/>
  <c r="L84" i="538"/>
  <c r="L85" i="538"/>
  <c r="L86" i="538"/>
  <c r="L87" i="538"/>
  <c r="L88" i="538"/>
  <c r="L89" i="538"/>
  <c r="L107" i="538"/>
  <c r="L5" i="539"/>
  <c r="L74" i="539"/>
  <c r="L75" i="539"/>
  <c r="L76" i="539"/>
  <c r="L77" i="539"/>
  <c r="L78" i="539"/>
  <c r="L79" i="539"/>
  <c r="L80" i="539"/>
  <c r="L81" i="539"/>
  <c r="L82" i="539"/>
  <c r="L83" i="539"/>
  <c r="L84" i="539"/>
  <c r="L85" i="539"/>
  <c r="L86" i="539"/>
  <c r="L87" i="539"/>
  <c r="L88" i="539"/>
  <c r="L89" i="539"/>
  <c r="L107" i="539"/>
  <c r="L5" i="540"/>
  <c r="L74" i="540"/>
  <c r="L75" i="540"/>
  <c r="L76" i="540"/>
  <c r="L77" i="540"/>
  <c r="L78" i="540"/>
  <c r="L79" i="540"/>
  <c r="L80" i="540"/>
  <c r="L81" i="540"/>
  <c r="L82" i="540"/>
  <c r="L83" i="540"/>
  <c r="L84" i="540"/>
  <c r="L85" i="540"/>
  <c r="L86" i="540"/>
  <c r="L87" i="540"/>
  <c r="L88" i="540"/>
  <c r="L89" i="540"/>
  <c r="L107" i="540"/>
  <c r="L5" i="541"/>
  <c r="L74" i="541"/>
  <c r="L75" i="541"/>
  <c r="L76" i="541"/>
  <c r="L77" i="541"/>
  <c r="L78" i="541"/>
  <c r="L79" i="541"/>
  <c r="L80" i="541"/>
  <c r="L81" i="541"/>
  <c r="L82" i="541"/>
  <c r="L83" i="541"/>
  <c r="L84" i="541"/>
  <c r="L85" i="541"/>
  <c r="L86" i="541"/>
  <c r="L87" i="541"/>
  <c r="L88" i="541"/>
  <c r="L89" i="541"/>
  <c r="L107" i="541"/>
  <c r="L5" i="542"/>
  <c r="L74" i="542"/>
  <c r="L75" i="542"/>
  <c r="L76" i="542"/>
  <c r="L77" i="542"/>
  <c r="L78" i="542"/>
  <c r="L79" i="542"/>
  <c r="L80" i="542"/>
  <c r="L81" i="542"/>
  <c r="L82" i="542"/>
  <c r="L83" i="542"/>
  <c r="L84" i="542"/>
  <c r="L85" i="542"/>
  <c r="L86" i="542"/>
  <c r="L87" i="542"/>
  <c r="L88" i="542"/>
  <c r="L89" i="542"/>
  <c r="L107" i="542"/>
  <c r="L5" i="543"/>
  <c r="L74" i="543"/>
  <c r="L75" i="543"/>
  <c r="L76" i="543"/>
  <c r="L77" i="543"/>
  <c r="L78" i="543"/>
  <c r="L79" i="543"/>
  <c r="L80" i="543"/>
  <c r="L81" i="543"/>
  <c r="L82" i="543"/>
  <c r="L83" i="543"/>
  <c r="L84" i="543"/>
  <c r="L85" i="543"/>
  <c r="L86" i="543"/>
  <c r="L87" i="543"/>
  <c r="L88" i="543"/>
  <c r="L89" i="543"/>
  <c r="L107" i="543"/>
  <c r="L5" i="544"/>
  <c r="L74" i="544"/>
  <c r="L75" i="544"/>
  <c r="L76" i="544"/>
  <c r="L77" i="544"/>
  <c r="L78" i="544"/>
  <c r="L79" i="544"/>
  <c r="L80" i="544"/>
  <c r="L81" i="544"/>
  <c r="L82" i="544"/>
  <c r="L83" i="544"/>
  <c r="L84" i="544"/>
  <c r="L85" i="544"/>
  <c r="L86" i="544"/>
  <c r="L87" i="544"/>
  <c r="L88" i="544"/>
  <c r="L89" i="544"/>
  <c r="L107" i="544"/>
  <c r="L5" i="545"/>
  <c r="L74" i="545"/>
  <c r="L75" i="545"/>
  <c r="L76" i="545"/>
  <c r="L77" i="545"/>
  <c r="L78" i="545"/>
  <c r="L79" i="545"/>
  <c r="L80" i="545"/>
  <c r="L81" i="545"/>
  <c r="L82" i="545"/>
  <c r="L83" i="545"/>
  <c r="L84" i="545"/>
  <c r="L85" i="545"/>
  <c r="L86" i="545"/>
  <c r="L87" i="545"/>
  <c r="L88" i="545"/>
  <c r="L89" i="545"/>
  <c r="L107" i="545"/>
  <c r="L107" i="270"/>
  <c r="H5" i="531"/>
  <c r="H74" i="531"/>
  <c r="H75" i="531"/>
  <c r="H77" i="531"/>
  <c r="H78" i="531"/>
  <c r="H79" i="531"/>
  <c r="H80" i="531"/>
  <c r="H81" i="531"/>
  <c r="H82" i="531"/>
  <c r="H83" i="531"/>
  <c r="H84" i="531"/>
  <c r="H85" i="531"/>
  <c r="H76" i="531"/>
  <c r="H86" i="531"/>
  <c r="H87" i="531"/>
  <c r="H88" i="531"/>
  <c r="H89" i="531"/>
  <c r="H106" i="531"/>
  <c r="I5" i="531"/>
  <c r="I74" i="531"/>
  <c r="I75" i="531"/>
  <c r="I76" i="531"/>
  <c r="I77" i="531"/>
  <c r="I78" i="531"/>
  <c r="I79" i="531"/>
  <c r="I80" i="531"/>
  <c r="I81" i="531"/>
  <c r="I82" i="531"/>
  <c r="I83" i="531"/>
  <c r="I84" i="531"/>
  <c r="I85" i="531"/>
  <c r="I86" i="531"/>
  <c r="I87" i="531"/>
  <c r="I88" i="531"/>
  <c r="I89" i="531"/>
  <c r="I106" i="531"/>
  <c r="J5" i="531"/>
  <c r="J74" i="531"/>
  <c r="J75" i="531"/>
  <c r="J76" i="531"/>
  <c r="J77" i="531"/>
  <c r="J78" i="531"/>
  <c r="J79" i="531"/>
  <c r="J80" i="531"/>
  <c r="J81" i="531"/>
  <c r="J82" i="531"/>
  <c r="J83" i="531"/>
  <c r="J84" i="531"/>
  <c r="J85" i="531"/>
  <c r="J86" i="531"/>
  <c r="J87" i="531"/>
  <c r="J88" i="531"/>
  <c r="J89" i="531"/>
  <c r="J106" i="531"/>
  <c r="K5" i="531"/>
  <c r="K74" i="531"/>
  <c r="K75" i="531"/>
  <c r="K76" i="531"/>
  <c r="K77" i="531"/>
  <c r="K78" i="531"/>
  <c r="K79" i="531"/>
  <c r="K80" i="531"/>
  <c r="K81" i="531"/>
  <c r="K82" i="531"/>
  <c r="K83" i="531"/>
  <c r="K84" i="531"/>
  <c r="K85" i="531"/>
  <c r="K86" i="531"/>
  <c r="K87" i="531"/>
  <c r="K88" i="531"/>
  <c r="K89" i="531"/>
  <c r="K106" i="531"/>
  <c r="H5" i="532"/>
  <c r="H74" i="532"/>
  <c r="H75" i="532"/>
  <c r="H77" i="532"/>
  <c r="H78" i="532"/>
  <c r="H79" i="532"/>
  <c r="H80" i="532"/>
  <c r="H81" i="532"/>
  <c r="H82" i="532"/>
  <c r="H83" i="532"/>
  <c r="H84" i="532"/>
  <c r="H85" i="532"/>
  <c r="H76" i="532"/>
  <c r="H86" i="532"/>
  <c r="H87" i="532"/>
  <c r="H88" i="532"/>
  <c r="H89" i="532"/>
  <c r="H106" i="532"/>
  <c r="I5" i="532"/>
  <c r="I74" i="532"/>
  <c r="I75" i="532"/>
  <c r="I76" i="532"/>
  <c r="I77" i="532"/>
  <c r="I78" i="532"/>
  <c r="I79" i="532"/>
  <c r="I80" i="532"/>
  <c r="I81" i="532"/>
  <c r="I82" i="532"/>
  <c r="I83" i="532"/>
  <c r="I84" i="532"/>
  <c r="I85" i="532"/>
  <c r="I86" i="532"/>
  <c r="I87" i="532"/>
  <c r="I88" i="532"/>
  <c r="I89" i="532"/>
  <c r="I106" i="532"/>
  <c r="J5" i="532"/>
  <c r="J74" i="532"/>
  <c r="J75" i="532"/>
  <c r="J76" i="532"/>
  <c r="J77" i="532"/>
  <c r="J78" i="532"/>
  <c r="J79" i="532"/>
  <c r="J80" i="532"/>
  <c r="J81" i="532"/>
  <c r="J82" i="532"/>
  <c r="J83" i="532"/>
  <c r="J84" i="532"/>
  <c r="J85" i="532"/>
  <c r="J86" i="532"/>
  <c r="J87" i="532"/>
  <c r="J88" i="532"/>
  <c r="J89" i="532"/>
  <c r="J106" i="532"/>
  <c r="K5" i="532"/>
  <c r="K74" i="532"/>
  <c r="K75" i="532"/>
  <c r="K76" i="532"/>
  <c r="K77" i="532"/>
  <c r="K78" i="532"/>
  <c r="K79" i="532"/>
  <c r="K80" i="532"/>
  <c r="K81" i="532"/>
  <c r="K82" i="532"/>
  <c r="K83" i="532"/>
  <c r="K84" i="532"/>
  <c r="K85" i="532"/>
  <c r="K86" i="532"/>
  <c r="K87" i="532"/>
  <c r="K88" i="532"/>
  <c r="K89" i="532"/>
  <c r="K106" i="532"/>
  <c r="H5" i="533"/>
  <c r="H74" i="533"/>
  <c r="H75" i="533"/>
  <c r="H77" i="533"/>
  <c r="H78" i="533"/>
  <c r="H79" i="533"/>
  <c r="H80" i="533"/>
  <c r="H81" i="533"/>
  <c r="H82" i="533"/>
  <c r="H83" i="533"/>
  <c r="H84" i="533"/>
  <c r="H85" i="533"/>
  <c r="H76" i="533"/>
  <c r="H86" i="533"/>
  <c r="H87" i="533"/>
  <c r="H88" i="533"/>
  <c r="H89" i="533"/>
  <c r="H106" i="533"/>
  <c r="I5" i="533"/>
  <c r="I74" i="533"/>
  <c r="I75" i="533"/>
  <c r="I76" i="533"/>
  <c r="I77" i="533"/>
  <c r="I78" i="533"/>
  <c r="I79" i="533"/>
  <c r="I80" i="533"/>
  <c r="I81" i="533"/>
  <c r="I82" i="533"/>
  <c r="I83" i="533"/>
  <c r="I84" i="533"/>
  <c r="I85" i="533"/>
  <c r="I86" i="533"/>
  <c r="I87" i="533"/>
  <c r="I88" i="533"/>
  <c r="I89" i="533"/>
  <c r="I106" i="533"/>
  <c r="J5" i="533"/>
  <c r="J74" i="533"/>
  <c r="J75" i="533"/>
  <c r="J76" i="533"/>
  <c r="J77" i="533"/>
  <c r="J78" i="533"/>
  <c r="J79" i="533"/>
  <c r="J80" i="533"/>
  <c r="J81" i="533"/>
  <c r="J82" i="533"/>
  <c r="J83" i="533"/>
  <c r="J84" i="533"/>
  <c r="J85" i="533"/>
  <c r="J86" i="533"/>
  <c r="J87" i="533"/>
  <c r="J88" i="533"/>
  <c r="J89" i="533"/>
  <c r="J106" i="533"/>
  <c r="K5" i="533"/>
  <c r="K74" i="533"/>
  <c r="K75" i="533"/>
  <c r="K76" i="533"/>
  <c r="K77" i="533"/>
  <c r="K78" i="533"/>
  <c r="K79" i="533"/>
  <c r="K80" i="533"/>
  <c r="K81" i="533"/>
  <c r="K82" i="533"/>
  <c r="K83" i="533"/>
  <c r="K84" i="533"/>
  <c r="K85" i="533"/>
  <c r="K86" i="533"/>
  <c r="K87" i="533"/>
  <c r="K88" i="533"/>
  <c r="K89" i="533"/>
  <c r="K106" i="533"/>
  <c r="H5" i="534"/>
  <c r="H74" i="534"/>
  <c r="H75" i="534"/>
  <c r="H77" i="534"/>
  <c r="H78" i="534"/>
  <c r="H79" i="534"/>
  <c r="H80" i="534"/>
  <c r="H81" i="534"/>
  <c r="H82" i="534"/>
  <c r="H83" i="534"/>
  <c r="H84" i="534"/>
  <c r="H85" i="534"/>
  <c r="H76" i="534"/>
  <c r="H86" i="534"/>
  <c r="H87" i="534"/>
  <c r="H88" i="534"/>
  <c r="H89" i="534"/>
  <c r="H106" i="534"/>
  <c r="I5" i="534"/>
  <c r="I74" i="534"/>
  <c r="I75" i="534"/>
  <c r="I76" i="534"/>
  <c r="I77" i="534"/>
  <c r="I78" i="534"/>
  <c r="I79" i="534"/>
  <c r="I80" i="534"/>
  <c r="I81" i="534"/>
  <c r="I82" i="534"/>
  <c r="I83" i="534"/>
  <c r="I84" i="534"/>
  <c r="I85" i="534"/>
  <c r="I86" i="534"/>
  <c r="I87" i="534"/>
  <c r="I88" i="534"/>
  <c r="I89" i="534"/>
  <c r="I106" i="534"/>
  <c r="J5" i="534"/>
  <c r="J74" i="534"/>
  <c r="J75" i="534"/>
  <c r="J76" i="534"/>
  <c r="J77" i="534"/>
  <c r="J78" i="534"/>
  <c r="J79" i="534"/>
  <c r="J80" i="534"/>
  <c r="J81" i="534"/>
  <c r="J82" i="534"/>
  <c r="J83" i="534"/>
  <c r="J84" i="534"/>
  <c r="J85" i="534"/>
  <c r="J86" i="534"/>
  <c r="J87" i="534"/>
  <c r="J88" i="534"/>
  <c r="J89" i="534"/>
  <c r="J106" i="534"/>
  <c r="K5" i="534"/>
  <c r="K74" i="534"/>
  <c r="K75" i="534"/>
  <c r="K76" i="534"/>
  <c r="K77" i="534"/>
  <c r="K78" i="534"/>
  <c r="K79" i="534"/>
  <c r="K80" i="534"/>
  <c r="K81" i="534"/>
  <c r="K82" i="534"/>
  <c r="K83" i="534"/>
  <c r="K84" i="534"/>
  <c r="K85" i="534"/>
  <c r="K86" i="534"/>
  <c r="K87" i="534"/>
  <c r="K88" i="534"/>
  <c r="K89" i="534"/>
  <c r="K106" i="534"/>
  <c r="H5" i="535"/>
  <c r="H74" i="535"/>
  <c r="H75" i="535"/>
  <c r="H77" i="535"/>
  <c r="H78" i="535"/>
  <c r="H79" i="535"/>
  <c r="H80" i="535"/>
  <c r="H81" i="535"/>
  <c r="H82" i="535"/>
  <c r="H83" i="535"/>
  <c r="H84" i="535"/>
  <c r="H85" i="535"/>
  <c r="H76" i="535"/>
  <c r="H86" i="535"/>
  <c r="H87" i="535"/>
  <c r="H88" i="535"/>
  <c r="H89" i="535"/>
  <c r="H106" i="535"/>
  <c r="I5" i="535"/>
  <c r="I74" i="535"/>
  <c r="I75" i="535"/>
  <c r="I76" i="535"/>
  <c r="I77" i="535"/>
  <c r="I78" i="535"/>
  <c r="I79" i="535"/>
  <c r="I80" i="535"/>
  <c r="I81" i="535"/>
  <c r="I82" i="535"/>
  <c r="I83" i="535"/>
  <c r="I84" i="535"/>
  <c r="I85" i="535"/>
  <c r="I86" i="535"/>
  <c r="I87" i="535"/>
  <c r="I88" i="535"/>
  <c r="I89" i="535"/>
  <c r="I106" i="535"/>
  <c r="J5" i="535"/>
  <c r="J74" i="535"/>
  <c r="J75" i="535"/>
  <c r="J76" i="535"/>
  <c r="J77" i="535"/>
  <c r="J78" i="535"/>
  <c r="J79" i="535"/>
  <c r="J80" i="535"/>
  <c r="J81" i="535"/>
  <c r="J82" i="535"/>
  <c r="J83" i="535"/>
  <c r="J84" i="535"/>
  <c r="J85" i="535"/>
  <c r="J86" i="535"/>
  <c r="J87" i="535"/>
  <c r="J88" i="535"/>
  <c r="J89" i="535"/>
  <c r="J106" i="535"/>
  <c r="K5" i="535"/>
  <c r="K74" i="535"/>
  <c r="K75" i="535"/>
  <c r="K76" i="535"/>
  <c r="K77" i="535"/>
  <c r="K78" i="535"/>
  <c r="K79" i="535"/>
  <c r="K80" i="535"/>
  <c r="K81" i="535"/>
  <c r="K82" i="535"/>
  <c r="K83" i="535"/>
  <c r="K84" i="535"/>
  <c r="K85" i="535"/>
  <c r="K86" i="535"/>
  <c r="K87" i="535"/>
  <c r="K88" i="535"/>
  <c r="K89" i="535"/>
  <c r="K106" i="535"/>
  <c r="H5" i="536"/>
  <c r="H74" i="536"/>
  <c r="H75" i="536"/>
  <c r="H77" i="536"/>
  <c r="H78" i="536"/>
  <c r="H79" i="536"/>
  <c r="H80" i="536"/>
  <c r="H81" i="536"/>
  <c r="H82" i="536"/>
  <c r="H83" i="536"/>
  <c r="H84" i="536"/>
  <c r="H85" i="536"/>
  <c r="H76" i="536"/>
  <c r="H86" i="536"/>
  <c r="H87" i="536"/>
  <c r="H88" i="536"/>
  <c r="H89" i="536"/>
  <c r="H106" i="536"/>
  <c r="I5" i="536"/>
  <c r="I74" i="536"/>
  <c r="I75" i="536"/>
  <c r="I76" i="536"/>
  <c r="I77" i="536"/>
  <c r="I78" i="536"/>
  <c r="I79" i="536"/>
  <c r="I80" i="536"/>
  <c r="I81" i="536"/>
  <c r="I82" i="536"/>
  <c r="I83" i="536"/>
  <c r="I84" i="536"/>
  <c r="I85" i="536"/>
  <c r="I86" i="536"/>
  <c r="I87" i="536"/>
  <c r="I88" i="536"/>
  <c r="I89" i="536"/>
  <c r="I106" i="536"/>
  <c r="J5" i="536"/>
  <c r="J74" i="536"/>
  <c r="J75" i="536"/>
  <c r="J76" i="536"/>
  <c r="J77" i="536"/>
  <c r="J78" i="536"/>
  <c r="J79" i="536"/>
  <c r="J80" i="536"/>
  <c r="J81" i="536"/>
  <c r="J82" i="536"/>
  <c r="J83" i="536"/>
  <c r="J84" i="536"/>
  <c r="J85" i="536"/>
  <c r="J86" i="536"/>
  <c r="J87" i="536"/>
  <c r="J88" i="536"/>
  <c r="J89" i="536"/>
  <c r="J106" i="536"/>
  <c r="K5" i="536"/>
  <c r="K74" i="536"/>
  <c r="K75" i="536"/>
  <c r="K76" i="536"/>
  <c r="K77" i="536"/>
  <c r="K78" i="536"/>
  <c r="K79" i="536"/>
  <c r="K80" i="536"/>
  <c r="K81" i="536"/>
  <c r="K82" i="536"/>
  <c r="K83" i="536"/>
  <c r="K84" i="536"/>
  <c r="K85" i="536"/>
  <c r="K86" i="536"/>
  <c r="K87" i="536"/>
  <c r="K88" i="536"/>
  <c r="K89" i="536"/>
  <c r="K106" i="536"/>
  <c r="H5" i="537"/>
  <c r="H74" i="537"/>
  <c r="H75" i="537"/>
  <c r="H77" i="537"/>
  <c r="H78" i="537"/>
  <c r="H79" i="537"/>
  <c r="H80" i="537"/>
  <c r="H81" i="537"/>
  <c r="H82" i="537"/>
  <c r="H83" i="537"/>
  <c r="H84" i="537"/>
  <c r="H85" i="537"/>
  <c r="H76" i="537"/>
  <c r="H86" i="537"/>
  <c r="H87" i="537"/>
  <c r="H88" i="537"/>
  <c r="H89" i="537"/>
  <c r="H106" i="537"/>
  <c r="I5" i="537"/>
  <c r="I74" i="537"/>
  <c r="I75" i="537"/>
  <c r="I76" i="537"/>
  <c r="I77" i="537"/>
  <c r="I78" i="537"/>
  <c r="I79" i="537"/>
  <c r="I80" i="537"/>
  <c r="I81" i="537"/>
  <c r="I82" i="537"/>
  <c r="I83" i="537"/>
  <c r="I84" i="537"/>
  <c r="I85" i="537"/>
  <c r="I86" i="537"/>
  <c r="I87" i="537"/>
  <c r="I88" i="537"/>
  <c r="I89" i="537"/>
  <c r="I106" i="537"/>
  <c r="J5" i="537"/>
  <c r="J74" i="537"/>
  <c r="J75" i="537"/>
  <c r="J76" i="537"/>
  <c r="J77" i="537"/>
  <c r="J78" i="537"/>
  <c r="J79" i="537"/>
  <c r="J80" i="537"/>
  <c r="J81" i="537"/>
  <c r="J82" i="537"/>
  <c r="J83" i="537"/>
  <c r="J84" i="537"/>
  <c r="J85" i="537"/>
  <c r="J86" i="537"/>
  <c r="J87" i="537"/>
  <c r="J88" i="537"/>
  <c r="J89" i="537"/>
  <c r="J106" i="537"/>
  <c r="K5" i="537"/>
  <c r="K74" i="537"/>
  <c r="K75" i="537"/>
  <c r="K76" i="537"/>
  <c r="K77" i="537"/>
  <c r="K78" i="537"/>
  <c r="K79" i="537"/>
  <c r="K80" i="537"/>
  <c r="K81" i="537"/>
  <c r="K82" i="537"/>
  <c r="K83" i="537"/>
  <c r="K84" i="537"/>
  <c r="K85" i="537"/>
  <c r="K86" i="537"/>
  <c r="K87" i="537"/>
  <c r="K88" i="537"/>
  <c r="K89" i="537"/>
  <c r="K106" i="537"/>
  <c r="H5" i="538"/>
  <c r="H74" i="538"/>
  <c r="H75" i="538"/>
  <c r="H77" i="538"/>
  <c r="H78" i="538"/>
  <c r="H79" i="538"/>
  <c r="H80" i="538"/>
  <c r="H81" i="538"/>
  <c r="H82" i="538"/>
  <c r="H83" i="538"/>
  <c r="H84" i="538"/>
  <c r="H85" i="538"/>
  <c r="H76" i="538"/>
  <c r="H86" i="538"/>
  <c r="H87" i="538"/>
  <c r="H88" i="538"/>
  <c r="H89" i="538"/>
  <c r="H106" i="538"/>
  <c r="I5" i="538"/>
  <c r="I74" i="538"/>
  <c r="I75" i="538"/>
  <c r="I76" i="538"/>
  <c r="I77" i="538"/>
  <c r="I78" i="538"/>
  <c r="I79" i="538"/>
  <c r="I80" i="538"/>
  <c r="I81" i="538"/>
  <c r="I82" i="538"/>
  <c r="I83" i="538"/>
  <c r="I84" i="538"/>
  <c r="I85" i="538"/>
  <c r="I86" i="538"/>
  <c r="I87" i="538"/>
  <c r="I88" i="538"/>
  <c r="I89" i="538"/>
  <c r="I106" i="538"/>
  <c r="J5" i="538"/>
  <c r="J74" i="538"/>
  <c r="J75" i="538"/>
  <c r="J76" i="538"/>
  <c r="J77" i="538"/>
  <c r="J78" i="538"/>
  <c r="J79" i="538"/>
  <c r="J80" i="538"/>
  <c r="J81" i="538"/>
  <c r="J82" i="538"/>
  <c r="J83" i="538"/>
  <c r="J84" i="538"/>
  <c r="J85" i="538"/>
  <c r="J86" i="538"/>
  <c r="J87" i="538"/>
  <c r="J88" i="538"/>
  <c r="J89" i="538"/>
  <c r="J106" i="538"/>
  <c r="K5" i="538"/>
  <c r="K74" i="538"/>
  <c r="K75" i="538"/>
  <c r="K76" i="538"/>
  <c r="K77" i="538"/>
  <c r="K78" i="538"/>
  <c r="K79" i="538"/>
  <c r="K80" i="538"/>
  <c r="K81" i="538"/>
  <c r="K82" i="538"/>
  <c r="K83" i="538"/>
  <c r="K84" i="538"/>
  <c r="K85" i="538"/>
  <c r="K86" i="538"/>
  <c r="K87" i="538"/>
  <c r="K88" i="538"/>
  <c r="K89" i="538"/>
  <c r="K106" i="538"/>
  <c r="H5" i="539"/>
  <c r="H74" i="539"/>
  <c r="H75" i="539"/>
  <c r="H77" i="539"/>
  <c r="H78" i="539"/>
  <c r="H79" i="539"/>
  <c r="H80" i="539"/>
  <c r="H81" i="539"/>
  <c r="H82" i="539"/>
  <c r="H83" i="539"/>
  <c r="H84" i="539"/>
  <c r="H85" i="539"/>
  <c r="H76" i="539"/>
  <c r="H86" i="539"/>
  <c r="H87" i="539"/>
  <c r="H88" i="539"/>
  <c r="H89" i="539"/>
  <c r="H106" i="539"/>
  <c r="I5" i="539"/>
  <c r="I74" i="539"/>
  <c r="I75" i="539"/>
  <c r="I76" i="539"/>
  <c r="I77" i="539"/>
  <c r="I78" i="539"/>
  <c r="I79" i="539"/>
  <c r="I80" i="539"/>
  <c r="I81" i="539"/>
  <c r="I82" i="539"/>
  <c r="I83" i="539"/>
  <c r="I84" i="539"/>
  <c r="I85" i="539"/>
  <c r="I86" i="539"/>
  <c r="I87" i="539"/>
  <c r="I88" i="539"/>
  <c r="I89" i="539"/>
  <c r="I106" i="539"/>
  <c r="J5" i="539"/>
  <c r="J74" i="539"/>
  <c r="J75" i="539"/>
  <c r="J76" i="539"/>
  <c r="J77" i="539"/>
  <c r="J78" i="539"/>
  <c r="J79" i="539"/>
  <c r="J80" i="539"/>
  <c r="J81" i="539"/>
  <c r="J82" i="539"/>
  <c r="J83" i="539"/>
  <c r="J84" i="539"/>
  <c r="J85" i="539"/>
  <c r="J86" i="539"/>
  <c r="J87" i="539"/>
  <c r="J88" i="539"/>
  <c r="J89" i="539"/>
  <c r="J106" i="539"/>
  <c r="K5" i="539"/>
  <c r="K74" i="539"/>
  <c r="K75" i="539"/>
  <c r="K76" i="539"/>
  <c r="K77" i="539"/>
  <c r="K78" i="539"/>
  <c r="K79" i="539"/>
  <c r="K80" i="539"/>
  <c r="K81" i="539"/>
  <c r="K82" i="539"/>
  <c r="K83" i="539"/>
  <c r="K84" i="539"/>
  <c r="K85" i="539"/>
  <c r="K86" i="539"/>
  <c r="K87" i="539"/>
  <c r="K88" i="539"/>
  <c r="K89" i="539"/>
  <c r="K106" i="539"/>
  <c r="H5" i="540"/>
  <c r="H74" i="540"/>
  <c r="H75" i="540"/>
  <c r="H77" i="540"/>
  <c r="H78" i="540"/>
  <c r="H79" i="540"/>
  <c r="H80" i="540"/>
  <c r="H81" i="540"/>
  <c r="H82" i="540"/>
  <c r="H83" i="540"/>
  <c r="H84" i="540"/>
  <c r="H85" i="540"/>
  <c r="H76" i="540"/>
  <c r="H86" i="540"/>
  <c r="H87" i="540"/>
  <c r="H88" i="540"/>
  <c r="H89" i="540"/>
  <c r="H106" i="540"/>
  <c r="I5" i="540"/>
  <c r="I74" i="540"/>
  <c r="I75" i="540"/>
  <c r="I76" i="540"/>
  <c r="I77" i="540"/>
  <c r="I78" i="540"/>
  <c r="I79" i="540"/>
  <c r="I80" i="540"/>
  <c r="I81" i="540"/>
  <c r="I82" i="540"/>
  <c r="I83" i="540"/>
  <c r="I84" i="540"/>
  <c r="I85" i="540"/>
  <c r="I86" i="540"/>
  <c r="I87" i="540"/>
  <c r="I88" i="540"/>
  <c r="I89" i="540"/>
  <c r="I106" i="540"/>
  <c r="J5" i="540"/>
  <c r="J74" i="540"/>
  <c r="J75" i="540"/>
  <c r="J76" i="540"/>
  <c r="J77" i="540"/>
  <c r="J78" i="540"/>
  <c r="J79" i="540"/>
  <c r="J80" i="540"/>
  <c r="J81" i="540"/>
  <c r="J82" i="540"/>
  <c r="J83" i="540"/>
  <c r="J84" i="540"/>
  <c r="J85" i="540"/>
  <c r="J86" i="540"/>
  <c r="J87" i="540"/>
  <c r="J88" i="540"/>
  <c r="J89" i="540"/>
  <c r="J106" i="540"/>
  <c r="K5" i="540"/>
  <c r="K74" i="540"/>
  <c r="K75" i="540"/>
  <c r="K76" i="540"/>
  <c r="K77" i="540"/>
  <c r="K78" i="540"/>
  <c r="K79" i="540"/>
  <c r="K80" i="540"/>
  <c r="K81" i="540"/>
  <c r="K82" i="540"/>
  <c r="K83" i="540"/>
  <c r="K84" i="540"/>
  <c r="K85" i="540"/>
  <c r="K86" i="540"/>
  <c r="K87" i="540"/>
  <c r="K88" i="540"/>
  <c r="K89" i="540"/>
  <c r="K106" i="540"/>
  <c r="H5" i="541"/>
  <c r="H74" i="541"/>
  <c r="H75" i="541"/>
  <c r="H77" i="541"/>
  <c r="H78" i="541"/>
  <c r="H79" i="541"/>
  <c r="H80" i="541"/>
  <c r="H81" i="541"/>
  <c r="H82" i="541"/>
  <c r="H83" i="541"/>
  <c r="H84" i="541"/>
  <c r="H85" i="541"/>
  <c r="H76" i="541"/>
  <c r="H86" i="541"/>
  <c r="H87" i="541"/>
  <c r="H88" i="541"/>
  <c r="H89" i="541"/>
  <c r="H106" i="541"/>
  <c r="I5" i="541"/>
  <c r="I74" i="541"/>
  <c r="I75" i="541"/>
  <c r="I76" i="541"/>
  <c r="I77" i="541"/>
  <c r="I78" i="541"/>
  <c r="I79" i="541"/>
  <c r="I80" i="541"/>
  <c r="I81" i="541"/>
  <c r="I82" i="541"/>
  <c r="I83" i="541"/>
  <c r="I84" i="541"/>
  <c r="I85" i="541"/>
  <c r="I86" i="541"/>
  <c r="I87" i="541"/>
  <c r="I88" i="541"/>
  <c r="I89" i="541"/>
  <c r="I106" i="541"/>
  <c r="J5" i="541"/>
  <c r="J74" i="541"/>
  <c r="J75" i="541"/>
  <c r="J76" i="541"/>
  <c r="J77" i="541"/>
  <c r="J78" i="541"/>
  <c r="J79" i="541"/>
  <c r="J80" i="541"/>
  <c r="J81" i="541"/>
  <c r="J82" i="541"/>
  <c r="J83" i="541"/>
  <c r="J84" i="541"/>
  <c r="J85" i="541"/>
  <c r="J86" i="541"/>
  <c r="J87" i="541"/>
  <c r="J88" i="541"/>
  <c r="J89" i="541"/>
  <c r="J106" i="541"/>
  <c r="K5" i="541"/>
  <c r="K74" i="541"/>
  <c r="K75" i="541"/>
  <c r="K76" i="541"/>
  <c r="K77" i="541"/>
  <c r="K78" i="541"/>
  <c r="K79" i="541"/>
  <c r="K80" i="541"/>
  <c r="K81" i="541"/>
  <c r="K82" i="541"/>
  <c r="K83" i="541"/>
  <c r="K84" i="541"/>
  <c r="K85" i="541"/>
  <c r="K86" i="541"/>
  <c r="K87" i="541"/>
  <c r="K88" i="541"/>
  <c r="K89" i="541"/>
  <c r="K106" i="541"/>
  <c r="H5" i="542"/>
  <c r="H74" i="542"/>
  <c r="H75" i="542"/>
  <c r="H77" i="542"/>
  <c r="H78" i="542"/>
  <c r="H79" i="542"/>
  <c r="H80" i="542"/>
  <c r="H81" i="542"/>
  <c r="H82" i="542"/>
  <c r="H83" i="542"/>
  <c r="H84" i="542"/>
  <c r="H85" i="542"/>
  <c r="H76" i="542"/>
  <c r="H86" i="542"/>
  <c r="H87" i="542"/>
  <c r="H88" i="542"/>
  <c r="H89" i="542"/>
  <c r="H106" i="542"/>
  <c r="I5" i="542"/>
  <c r="I74" i="542"/>
  <c r="I75" i="542"/>
  <c r="I76" i="542"/>
  <c r="I77" i="542"/>
  <c r="I78" i="542"/>
  <c r="I79" i="542"/>
  <c r="I80" i="542"/>
  <c r="I81" i="542"/>
  <c r="I82" i="542"/>
  <c r="I83" i="542"/>
  <c r="I84" i="542"/>
  <c r="I85" i="542"/>
  <c r="I86" i="542"/>
  <c r="I87" i="542"/>
  <c r="I88" i="542"/>
  <c r="I89" i="542"/>
  <c r="I106" i="542"/>
  <c r="J5" i="542"/>
  <c r="J74" i="542"/>
  <c r="J75" i="542"/>
  <c r="J76" i="542"/>
  <c r="J77" i="542"/>
  <c r="J78" i="542"/>
  <c r="J79" i="542"/>
  <c r="J80" i="542"/>
  <c r="J81" i="542"/>
  <c r="J82" i="542"/>
  <c r="J83" i="542"/>
  <c r="J84" i="542"/>
  <c r="J85" i="542"/>
  <c r="J86" i="542"/>
  <c r="J87" i="542"/>
  <c r="J88" i="542"/>
  <c r="J89" i="542"/>
  <c r="J106" i="542"/>
  <c r="K5" i="542"/>
  <c r="K74" i="542"/>
  <c r="K75" i="542"/>
  <c r="K76" i="542"/>
  <c r="K77" i="542"/>
  <c r="K78" i="542"/>
  <c r="K79" i="542"/>
  <c r="K80" i="542"/>
  <c r="K81" i="542"/>
  <c r="K82" i="542"/>
  <c r="K83" i="542"/>
  <c r="K84" i="542"/>
  <c r="K85" i="542"/>
  <c r="K86" i="542"/>
  <c r="K87" i="542"/>
  <c r="K88" i="542"/>
  <c r="K89" i="542"/>
  <c r="K106" i="542"/>
  <c r="H5" i="543"/>
  <c r="H74" i="543"/>
  <c r="H75" i="543"/>
  <c r="H77" i="543"/>
  <c r="H78" i="543"/>
  <c r="H79" i="543"/>
  <c r="H80" i="543"/>
  <c r="H81" i="543"/>
  <c r="H82" i="543"/>
  <c r="H83" i="543"/>
  <c r="H84" i="543"/>
  <c r="H85" i="543"/>
  <c r="H76" i="543"/>
  <c r="H86" i="543"/>
  <c r="H87" i="543"/>
  <c r="H88" i="543"/>
  <c r="H89" i="543"/>
  <c r="H106" i="543"/>
  <c r="I5" i="543"/>
  <c r="I74" i="543"/>
  <c r="I75" i="543"/>
  <c r="I76" i="543"/>
  <c r="I77" i="543"/>
  <c r="I78" i="543"/>
  <c r="I79" i="543"/>
  <c r="I80" i="543"/>
  <c r="I81" i="543"/>
  <c r="I82" i="543"/>
  <c r="I83" i="543"/>
  <c r="I84" i="543"/>
  <c r="I85" i="543"/>
  <c r="I86" i="543"/>
  <c r="I87" i="543"/>
  <c r="I88" i="543"/>
  <c r="I89" i="543"/>
  <c r="I106" i="543"/>
  <c r="J5" i="543"/>
  <c r="J74" i="543"/>
  <c r="J75" i="543"/>
  <c r="J76" i="543"/>
  <c r="J77" i="543"/>
  <c r="J78" i="543"/>
  <c r="J79" i="543"/>
  <c r="J80" i="543"/>
  <c r="J81" i="543"/>
  <c r="J82" i="543"/>
  <c r="J83" i="543"/>
  <c r="J84" i="543"/>
  <c r="J85" i="543"/>
  <c r="J86" i="543"/>
  <c r="J87" i="543"/>
  <c r="J88" i="543"/>
  <c r="J89" i="543"/>
  <c r="J106" i="543"/>
  <c r="K5" i="543"/>
  <c r="K74" i="543"/>
  <c r="K75" i="543"/>
  <c r="K76" i="543"/>
  <c r="K77" i="543"/>
  <c r="K78" i="543"/>
  <c r="K79" i="543"/>
  <c r="K80" i="543"/>
  <c r="K81" i="543"/>
  <c r="K82" i="543"/>
  <c r="K83" i="543"/>
  <c r="K84" i="543"/>
  <c r="K85" i="543"/>
  <c r="K86" i="543"/>
  <c r="K87" i="543"/>
  <c r="K88" i="543"/>
  <c r="K89" i="543"/>
  <c r="K106" i="543"/>
  <c r="H5" i="544"/>
  <c r="H74" i="544"/>
  <c r="H75" i="544"/>
  <c r="H77" i="544"/>
  <c r="H78" i="544"/>
  <c r="H79" i="544"/>
  <c r="H80" i="544"/>
  <c r="H81" i="544"/>
  <c r="H82" i="544"/>
  <c r="H83" i="544"/>
  <c r="H84" i="544"/>
  <c r="H85" i="544"/>
  <c r="H76" i="544"/>
  <c r="H86" i="544"/>
  <c r="H87" i="544"/>
  <c r="H88" i="544"/>
  <c r="H89" i="544"/>
  <c r="H106" i="544"/>
  <c r="I5" i="544"/>
  <c r="I74" i="544"/>
  <c r="I75" i="544"/>
  <c r="I76" i="544"/>
  <c r="I77" i="544"/>
  <c r="I78" i="544"/>
  <c r="I79" i="544"/>
  <c r="I80" i="544"/>
  <c r="I81" i="544"/>
  <c r="I82" i="544"/>
  <c r="I83" i="544"/>
  <c r="I84" i="544"/>
  <c r="I85" i="544"/>
  <c r="I86" i="544"/>
  <c r="I87" i="544"/>
  <c r="I88" i="544"/>
  <c r="I89" i="544"/>
  <c r="I106" i="544"/>
  <c r="J5" i="544"/>
  <c r="J74" i="544"/>
  <c r="J75" i="544"/>
  <c r="J76" i="544"/>
  <c r="J77" i="544"/>
  <c r="J78" i="544"/>
  <c r="J79" i="544"/>
  <c r="J80" i="544"/>
  <c r="J81" i="544"/>
  <c r="J82" i="544"/>
  <c r="J83" i="544"/>
  <c r="J84" i="544"/>
  <c r="J85" i="544"/>
  <c r="J86" i="544"/>
  <c r="J87" i="544"/>
  <c r="J88" i="544"/>
  <c r="J89" i="544"/>
  <c r="J106" i="544"/>
  <c r="K5" i="544"/>
  <c r="K74" i="544"/>
  <c r="K75" i="544"/>
  <c r="K76" i="544"/>
  <c r="K77" i="544"/>
  <c r="K78" i="544"/>
  <c r="K79" i="544"/>
  <c r="K80" i="544"/>
  <c r="K81" i="544"/>
  <c r="K82" i="544"/>
  <c r="K83" i="544"/>
  <c r="K84" i="544"/>
  <c r="K85" i="544"/>
  <c r="K86" i="544"/>
  <c r="K87" i="544"/>
  <c r="K88" i="544"/>
  <c r="K89" i="544"/>
  <c r="K106" i="544"/>
  <c r="H5" i="545"/>
  <c r="H74" i="545"/>
  <c r="H75" i="545"/>
  <c r="H77" i="545"/>
  <c r="H78" i="545"/>
  <c r="H79" i="545"/>
  <c r="H80" i="545"/>
  <c r="H81" i="545"/>
  <c r="H82" i="545"/>
  <c r="H83" i="545"/>
  <c r="H84" i="545"/>
  <c r="H85" i="545"/>
  <c r="H76" i="545"/>
  <c r="H86" i="545"/>
  <c r="H87" i="545"/>
  <c r="H88" i="545"/>
  <c r="H89" i="545"/>
  <c r="H106" i="545"/>
  <c r="I5" i="545"/>
  <c r="I74" i="545"/>
  <c r="I75" i="545"/>
  <c r="I76" i="545"/>
  <c r="I77" i="545"/>
  <c r="I78" i="545"/>
  <c r="I79" i="545"/>
  <c r="I80" i="545"/>
  <c r="I81" i="545"/>
  <c r="I82" i="545"/>
  <c r="I83" i="545"/>
  <c r="I84" i="545"/>
  <c r="I85" i="545"/>
  <c r="I86" i="545"/>
  <c r="I87" i="545"/>
  <c r="I88" i="545"/>
  <c r="I89" i="545"/>
  <c r="I106" i="545"/>
  <c r="J5" i="545"/>
  <c r="J74" i="545"/>
  <c r="J75" i="545"/>
  <c r="J76" i="545"/>
  <c r="J77" i="545"/>
  <c r="J78" i="545"/>
  <c r="J79" i="545"/>
  <c r="J80" i="545"/>
  <c r="J81" i="545"/>
  <c r="J82" i="545"/>
  <c r="J83" i="545"/>
  <c r="J84" i="545"/>
  <c r="J85" i="545"/>
  <c r="J86" i="545"/>
  <c r="J87" i="545"/>
  <c r="J88" i="545"/>
  <c r="J89" i="545"/>
  <c r="J106" i="545"/>
  <c r="K5" i="545"/>
  <c r="K74" i="545"/>
  <c r="K75" i="545"/>
  <c r="K76" i="545"/>
  <c r="K77" i="545"/>
  <c r="K78" i="545"/>
  <c r="K79" i="545"/>
  <c r="K80" i="545"/>
  <c r="K81" i="545"/>
  <c r="K82" i="545"/>
  <c r="K83" i="545"/>
  <c r="K84" i="545"/>
  <c r="K85" i="545"/>
  <c r="K86" i="545"/>
  <c r="K87" i="545"/>
  <c r="K88" i="545"/>
  <c r="K89" i="545"/>
  <c r="K106" i="545"/>
  <c r="H106" i="270"/>
  <c r="I106" i="270"/>
  <c r="J106" i="270"/>
  <c r="K106" i="270"/>
  <c r="G74" i="531"/>
  <c r="G75" i="531"/>
  <c r="G76" i="531"/>
  <c r="G77" i="531"/>
  <c r="G78" i="531"/>
  <c r="G79" i="531"/>
  <c r="G80" i="531"/>
  <c r="G81" i="531"/>
  <c r="G82" i="531"/>
  <c r="G83" i="531"/>
  <c r="G84" i="531"/>
  <c r="G85" i="531"/>
  <c r="G86" i="531"/>
  <c r="G87" i="531"/>
  <c r="G88" i="531"/>
  <c r="G89" i="531"/>
  <c r="G106" i="531"/>
  <c r="G74" i="532"/>
  <c r="G75" i="532"/>
  <c r="G76" i="532"/>
  <c r="G77" i="532"/>
  <c r="G78" i="532"/>
  <c r="G79" i="532"/>
  <c r="G80" i="532"/>
  <c r="G81" i="532"/>
  <c r="G82" i="532"/>
  <c r="G83" i="532"/>
  <c r="G84" i="532"/>
  <c r="G85" i="532"/>
  <c r="G86" i="532"/>
  <c r="G87" i="532"/>
  <c r="G88" i="532"/>
  <c r="G89" i="532"/>
  <c r="G106" i="532"/>
  <c r="G74" i="533"/>
  <c r="G75" i="533"/>
  <c r="G76" i="533"/>
  <c r="G77" i="533"/>
  <c r="G78" i="533"/>
  <c r="G79" i="533"/>
  <c r="G80" i="533"/>
  <c r="G81" i="533"/>
  <c r="G82" i="533"/>
  <c r="G83" i="533"/>
  <c r="G84" i="533"/>
  <c r="G85" i="533"/>
  <c r="G86" i="533"/>
  <c r="G87" i="533"/>
  <c r="G88" i="533"/>
  <c r="G89" i="533"/>
  <c r="G106" i="533"/>
  <c r="G74" i="534"/>
  <c r="G75" i="534"/>
  <c r="G76" i="534"/>
  <c r="G77" i="534"/>
  <c r="G78" i="534"/>
  <c r="G79" i="534"/>
  <c r="G80" i="534"/>
  <c r="G81" i="534"/>
  <c r="G82" i="534"/>
  <c r="G83" i="534"/>
  <c r="G84" i="534"/>
  <c r="G85" i="534"/>
  <c r="G86" i="534"/>
  <c r="G87" i="534"/>
  <c r="G88" i="534"/>
  <c r="G89" i="534"/>
  <c r="G106" i="534"/>
  <c r="G74" i="535"/>
  <c r="G75" i="535"/>
  <c r="G76" i="535"/>
  <c r="G77" i="535"/>
  <c r="G78" i="535"/>
  <c r="G79" i="535"/>
  <c r="G80" i="535"/>
  <c r="G81" i="535"/>
  <c r="G82" i="535"/>
  <c r="G83" i="535"/>
  <c r="G84" i="535"/>
  <c r="G85" i="535"/>
  <c r="G86" i="535"/>
  <c r="G87" i="535"/>
  <c r="G88" i="535"/>
  <c r="G89" i="535"/>
  <c r="G106" i="535"/>
  <c r="G74" i="536"/>
  <c r="G75" i="536"/>
  <c r="G76" i="536"/>
  <c r="G77" i="536"/>
  <c r="G78" i="536"/>
  <c r="G79" i="536"/>
  <c r="G80" i="536"/>
  <c r="G81" i="536"/>
  <c r="G82" i="536"/>
  <c r="G83" i="536"/>
  <c r="G84" i="536"/>
  <c r="G85" i="536"/>
  <c r="G86" i="536"/>
  <c r="G87" i="536"/>
  <c r="G88" i="536"/>
  <c r="G89" i="536"/>
  <c r="G106" i="536"/>
  <c r="G74" i="537"/>
  <c r="G75" i="537"/>
  <c r="G76" i="537"/>
  <c r="G77" i="537"/>
  <c r="G78" i="537"/>
  <c r="G79" i="537"/>
  <c r="G80" i="537"/>
  <c r="G81" i="537"/>
  <c r="G82" i="537"/>
  <c r="G83" i="537"/>
  <c r="G84" i="537"/>
  <c r="G85" i="537"/>
  <c r="G86" i="537"/>
  <c r="G87" i="537"/>
  <c r="G88" i="537"/>
  <c r="G89" i="537"/>
  <c r="G106" i="537"/>
  <c r="G74" i="538"/>
  <c r="G75" i="538"/>
  <c r="G76" i="538"/>
  <c r="G77" i="538"/>
  <c r="G78" i="538"/>
  <c r="G79" i="538"/>
  <c r="G80" i="538"/>
  <c r="G81" i="538"/>
  <c r="G82" i="538"/>
  <c r="G83" i="538"/>
  <c r="G84" i="538"/>
  <c r="G85" i="538"/>
  <c r="G86" i="538"/>
  <c r="G87" i="538"/>
  <c r="G88" i="538"/>
  <c r="G89" i="538"/>
  <c r="G106" i="538"/>
  <c r="G74" i="539"/>
  <c r="G75" i="539"/>
  <c r="G76" i="539"/>
  <c r="G77" i="539"/>
  <c r="G78" i="539"/>
  <c r="G79" i="539"/>
  <c r="G80" i="539"/>
  <c r="G81" i="539"/>
  <c r="G82" i="539"/>
  <c r="G83" i="539"/>
  <c r="G84" i="539"/>
  <c r="G85" i="539"/>
  <c r="G86" i="539"/>
  <c r="G87" i="539"/>
  <c r="G88" i="539"/>
  <c r="G89" i="539"/>
  <c r="G106" i="539"/>
  <c r="G74" i="540"/>
  <c r="G75" i="540"/>
  <c r="G76" i="540"/>
  <c r="G77" i="540"/>
  <c r="G78" i="540"/>
  <c r="G79" i="540"/>
  <c r="G80" i="540"/>
  <c r="G81" i="540"/>
  <c r="G82" i="540"/>
  <c r="G83" i="540"/>
  <c r="G84" i="540"/>
  <c r="G85" i="540"/>
  <c r="G86" i="540"/>
  <c r="G87" i="540"/>
  <c r="G88" i="540"/>
  <c r="G89" i="540"/>
  <c r="G106" i="540"/>
  <c r="G74" i="541"/>
  <c r="G75" i="541"/>
  <c r="G76" i="541"/>
  <c r="G77" i="541"/>
  <c r="G78" i="541"/>
  <c r="G79" i="541"/>
  <c r="G80" i="541"/>
  <c r="G81" i="541"/>
  <c r="G82" i="541"/>
  <c r="G83" i="541"/>
  <c r="G84" i="541"/>
  <c r="G85" i="541"/>
  <c r="G86" i="541"/>
  <c r="G87" i="541"/>
  <c r="G88" i="541"/>
  <c r="G89" i="541"/>
  <c r="G106" i="541"/>
  <c r="G74" i="542"/>
  <c r="G75" i="542"/>
  <c r="G76" i="542"/>
  <c r="G77" i="542"/>
  <c r="G78" i="542"/>
  <c r="G79" i="542"/>
  <c r="G80" i="542"/>
  <c r="G81" i="542"/>
  <c r="G82" i="542"/>
  <c r="G83" i="542"/>
  <c r="G84" i="542"/>
  <c r="G85" i="542"/>
  <c r="G86" i="542"/>
  <c r="G87" i="542"/>
  <c r="G88" i="542"/>
  <c r="G89" i="542"/>
  <c r="G106" i="542"/>
  <c r="G74" i="543"/>
  <c r="G75" i="543"/>
  <c r="G76" i="543"/>
  <c r="G77" i="543"/>
  <c r="G78" i="543"/>
  <c r="G79" i="543"/>
  <c r="G80" i="543"/>
  <c r="G81" i="543"/>
  <c r="G82" i="543"/>
  <c r="G83" i="543"/>
  <c r="G84" i="543"/>
  <c r="G85" i="543"/>
  <c r="G86" i="543"/>
  <c r="G87" i="543"/>
  <c r="G88" i="543"/>
  <c r="G89" i="543"/>
  <c r="G106" i="543"/>
  <c r="G74" i="544"/>
  <c r="G75" i="544"/>
  <c r="G76" i="544"/>
  <c r="G77" i="544"/>
  <c r="G78" i="544"/>
  <c r="G79" i="544"/>
  <c r="G80" i="544"/>
  <c r="G81" i="544"/>
  <c r="G82" i="544"/>
  <c r="G83" i="544"/>
  <c r="G84" i="544"/>
  <c r="G85" i="544"/>
  <c r="G86" i="544"/>
  <c r="G87" i="544"/>
  <c r="G88" i="544"/>
  <c r="G89" i="544"/>
  <c r="G106" i="544"/>
  <c r="G74" i="545"/>
  <c r="G75" i="545"/>
  <c r="G76" i="545"/>
  <c r="G77" i="545"/>
  <c r="G78" i="545"/>
  <c r="G79" i="545"/>
  <c r="G80" i="545"/>
  <c r="G81" i="545"/>
  <c r="G82" i="545"/>
  <c r="G83" i="545"/>
  <c r="G84" i="545"/>
  <c r="G85" i="545"/>
  <c r="G86" i="545"/>
  <c r="G87" i="545"/>
  <c r="G88" i="545"/>
  <c r="G89" i="545"/>
  <c r="G106" i="545"/>
  <c r="G106" i="270"/>
  <c r="H2" i="173"/>
  <c r="G2" i="173"/>
  <c r="F2" i="173"/>
  <c r="E2" i="173"/>
  <c r="D2" i="173"/>
  <c r="O2" i="173"/>
  <c r="N2" i="173"/>
  <c r="M2" i="173"/>
  <c r="L2" i="173"/>
  <c r="K2" i="173"/>
  <c r="J2" i="173"/>
  <c r="I2" i="173"/>
  <c r="H162" i="270"/>
  <c r="I162" i="270"/>
  <c r="J162" i="270"/>
  <c r="K162" i="270"/>
  <c r="L162" i="270"/>
  <c r="M162" i="270"/>
  <c r="N162" i="270"/>
  <c r="O162" i="270"/>
  <c r="P162" i="270"/>
  <c r="Q162" i="270"/>
  <c r="R162" i="270"/>
  <c r="H162" i="531"/>
  <c r="I162" i="531"/>
  <c r="J162" i="531"/>
  <c r="K162" i="531"/>
  <c r="L162" i="531"/>
  <c r="M162" i="531"/>
  <c r="N162" i="531"/>
  <c r="O162" i="531"/>
  <c r="P162" i="531"/>
  <c r="Q162" i="531"/>
  <c r="R162" i="531"/>
  <c r="H162" i="532"/>
  <c r="I162" i="532"/>
  <c r="J162" i="532"/>
  <c r="K162" i="532"/>
  <c r="L162" i="532"/>
  <c r="M162" i="532"/>
  <c r="N162" i="532"/>
  <c r="O162" i="532"/>
  <c r="P162" i="532"/>
  <c r="Q162" i="532"/>
  <c r="R162" i="532"/>
  <c r="H162" i="533"/>
  <c r="I162" i="533"/>
  <c r="J162" i="533"/>
  <c r="K162" i="533"/>
  <c r="L162" i="533"/>
  <c r="M162" i="533"/>
  <c r="N162" i="533"/>
  <c r="O162" i="533"/>
  <c r="P162" i="533"/>
  <c r="Q162" i="533"/>
  <c r="R162" i="533"/>
  <c r="H162" i="534"/>
  <c r="I162" i="534"/>
  <c r="J162" i="534"/>
  <c r="K162" i="534"/>
  <c r="L162" i="534"/>
  <c r="M162" i="534"/>
  <c r="N162" i="534"/>
  <c r="O162" i="534"/>
  <c r="P162" i="534"/>
  <c r="Q162" i="534"/>
  <c r="R162" i="534"/>
  <c r="H162" i="535"/>
  <c r="I162" i="535"/>
  <c r="J162" i="535"/>
  <c r="K162" i="535"/>
  <c r="L162" i="535"/>
  <c r="M162" i="535"/>
  <c r="N162" i="535"/>
  <c r="O162" i="535"/>
  <c r="P162" i="535"/>
  <c r="Q162" i="535"/>
  <c r="R162" i="535"/>
  <c r="H162" i="536"/>
  <c r="I162" i="536"/>
  <c r="J162" i="536"/>
  <c r="K162" i="536"/>
  <c r="L162" i="536"/>
  <c r="M162" i="536"/>
  <c r="N162" i="536"/>
  <c r="O162" i="536"/>
  <c r="P162" i="536"/>
  <c r="Q162" i="536"/>
  <c r="R162" i="536"/>
  <c r="H162" i="537"/>
  <c r="I162" i="537"/>
  <c r="J162" i="537"/>
  <c r="K162" i="537"/>
  <c r="L162" i="537"/>
  <c r="M162" i="537"/>
  <c r="N162" i="537"/>
  <c r="O162" i="537"/>
  <c r="P162" i="537"/>
  <c r="Q162" i="537"/>
  <c r="R162" i="537"/>
  <c r="H162" i="538"/>
  <c r="I162" i="538"/>
  <c r="J162" i="538"/>
  <c r="K162" i="538"/>
  <c r="L162" i="538"/>
  <c r="M162" i="538"/>
  <c r="N162" i="538"/>
  <c r="O162" i="538"/>
  <c r="P162" i="538"/>
  <c r="Q162" i="538"/>
  <c r="R162" i="538"/>
  <c r="H162" i="539"/>
  <c r="I162" i="539"/>
  <c r="J162" i="539"/>
  <c r="K162" i="539"/>
  <c r="L162" i="539"/>
  <c r="M162" i="539"/>
  <c r="N162" i="539"/>
  <c r="O162" i="539"/>
  <c r="P162" i="539"/>
  <c r="Q162" i="539"/>
  <c r="R162" i="539"/>
  <c r="H162" i="540"/>
  <c r="I162" i="540"/>
  <c r="J162" i="540"/>
  <c r="K162" i="540"/>
  <c r="L162" i="540"/>
  <c r="M162" i="540"/>
  <c r="N162" i="540"/>
  <c r="O162" i="540"/>
  <c r="P162" i="540"/>
  <c r="Q162" i="540"/>
  <c r="R162" i="540"/>
  <c r="H162" i="541"/>
  <c r="I162" i="541"/>
  <c r="J162" i="541"/>
  <c r="K162" i="541"/>
  <c r="L162" i="541"/>
  <c r="M162" i="541"/>
  <c r="N162" i="541"/>
  <c r="O162" i="541"/>
  <c r="P162" i="541"/>
  <c r="Q162" i="541"/>
  <c r="R162" i="541"/>
  <c r="H162" i="542"/>
  <c r="I162" i="542"/>
  <c r="J162" i="542"/>
  <c r="K162" i="542"/>
  <c r="L162" i="542"/>
  <c r="M162" i="542"/>
  <c r="N162" i="542"/>
  <c r="O162" i="542"/>
  <c r="P162" i="542"/>
  <c r="Q162" i="542"/>
  <c r="R162" i="542"/>
  <c r="H162" i="543"/>
  <c r="I162" i="543"/>
  <c r="J162" i="543"/>
  <c r="K162" i="543"/>
  <c r="L162" i="543"/>
  <c r="M162" i="543"/>
  <c r="N162" i="543"/>
  <c r="O162" i="543"/>
  <c r="P162" i="543"/>
  <c r="Q162" i="543"/>
  <c r="R162" i="543"/>
  <c r="H162" i="544"/>
  <c r="I162" i="544"/>
  <c r="J162" i="544"/>
  <c r="K162" i="544"/>
  <c r="L162" i="544"/>
  <c r="M162" i="544"/>
  <c r="N162" i="544"/>
  <c r="O162" i="544"/>
  <c r="P162" i="544"/>
  <c r="Q162" i="544"/>
  <c r="R162" i="544"/>
  <c r="H162" i="545"/>
  <c r="I162" i="545"/>
  <c r="J162" i="545"/>
  <c r="K162" i="545"/>
  <c r="L162" i="545"/>
  <c r="M162" i="545"/>
  <c r="N162" i="545"/>
  <c r="O162" i="545"/>
  <c r="P162" i="545"/>
  <c r="Q162" i="545"/>
  <c r="R162" i="545"/>
  <c r="G162" i="270"/>
  <c r="G162" i="531"/>
  <c r="G162" i="532"/>
  <c r="G162" i="533"/>
  <c r="G162" i="534"/>
  <c r="G162" i="535"/>
  <c r="G162" i="536"/>
  <c r="G162" i="537"/>
  <c r="G162" i="538"/>
  <c r="G162" i="539"/>
  <c r="G162" i="540"/>
  <c r="G162" i="541"/>
  <c r="G162" i="542"/>
  <c r="G162" i="543"/>
  <c r="G162" i="544"/>
  <c r="G162" i="545"/>
  <c r="H186" i="270"/>
  <c r="I186" i="270"/>
  <c r="J186" i="270"/>
  <c r="K186" i="270"/>
  <c r="L186" i="270"/>
  <c r="M186" i="270"/>
  <c r="N186" i="270"/>
  <c r="O186" i="270"/>
  <c r="P186" i="270"/>
  <c r="Q186" i="270"/>
  <c r="R186" i="270"/>
  <c r="H186" i="531"/>
  <c r="I186" i="531"/>
  <c r="J186" i="531"/>
  <c r="K186" i="531"/>
  <c r="L186" i="531"/>
  <c r="M186" i="531"/>
  <c r="N186" i="531"/>
  <c r="O186" i="531"/>
  <c r="P186" i="531"/>
  <c r="Q186" i="531"/>
  <c r="R186" i="531"/>
  <c r="H186" i="532"/>
  <c r="I186" i="532"/>
  <c r="J186" i="532"/>
  <c r="K186" i="532"/>
  <c r="L186" i="532"/>
  <c r="M186" i="532"/>
  <c r="N186" i="532"/>
  <c r="O186" i="532"/>
  <c r="P186" i="532"/>
  <c r="Q186" i="532"/>
  <c r="R186" i="532"/>
  <c r="H186" i="533"/>
  <c r="I186" i="533"/>
  <c r="J186" i="533"/>
  <c r="K186" i="533"/>
  <c r="L186" i="533"/>
  <c r="M186" i="533"/>
  <c r="N186" i="533"/>
  <c r="O186" i="533"/>
  <c r="P186" i="533"/>
  <c r="Q186" i="533"/>
  <c r="R186" i="533"/>
  <c r="H186" i="534"/>
  <c r="I186" i="534"/>
  <c r="J186" i="534"/>
  <c r="K186" i="534"/>
  <c r="L186" i="534"/>
  <c r="M186" i="534"/>
  <c r="N186" i="534"/>
  <c r="O186" i="534"/>
  <c r="P186" i="534"/>
  <c r="Q186" i="534"/>
  <c r="R186" i="534"/>
  <c r="H186" i="535"/>
  <c r="I186" i="535"/>
  <c r="J186" i="535"/>
  <c r="K186" i="535"/>
  <c r="L186" i="535"/>
  <c r="M186" i="535"/>
  <c r="N186" i="535"/>
  <c r="O186" i="535"/>
  <c r="P186" i="535"/>
  <c r="Q186" i="535"/>
  <c r="R186" i="535"/>
  <c r="H186" i="536"/>
  <c r="I186" i="536"/>
  <c r="J186" i="536"/>
  <c r="K186" i="536"/>
  <c r="L186" i="536"/>
  <c r="M186" i="536"/>
  <c r="N186" i="536"/>
  <c r="O186" i="536"/>
  <c r="P186" i="536"/>
  <c r="Q186" i="536"/>
  <c r="R186" i="536"/>
  <c r="H186" i="537"/>
  <c r="I186" i="537"/>
  <c r="J186" i="537"/>
  <c r="K186" i="537"/>
  <c r="L186" i="537"/>
  <c r="M186" i="537"/>
  <c r="N186" i="537"/>
  <c r="O186" i="537"/>
  <c r="P186" i="537"/>
  <c r="Q186" i="537"/>
  <c r="R186" i="537"/>
  <c r="H186" i="538"/>
  <c r="I186" i="538"/>
  <c r="J186" i="538"/>
  <c r="K186" i="538"/>
  <c r="L186" i="538"/>
  <c r="M186" i="538"/>
  <c r="N186" i="538"/>
  <c r="O186" i="538"/>
  <c r="P186" i="538"/>
  <c r="Q186" i="538"/>
  <c r="R186" i="538"/>
  <c r="H186" i="539"/>
  <c r="I186" i="539"/>
  <c r="J186" i="539"/>
  <c r="K186" i="539"/>
  <c r="L186" i="539"/>
  <c r="M186" i="539"/>
  <c r="N186" i="539"/>
  <c r="O186" i="539"/>
  <c r="P186" i="539"/>
  <c r="Q186" i="539"/>
  <c r="R186" i="539"/>
  <c r="H186" i="540"/>
  <c r="I186" i="540"/>
  <c r="J186" i="540"/>
  <c r="K186" i="540"/>
  <c r="L186" i="540"/>
  <c r="M186" i="540"/>
  <c r="N186" i="540"/>
  <c r="O186" i="540"/>
  <c r="P186" i="540"/>
  <c r="Q186" i="540"/>
  <c r="R186" i="540"/>
  <c r="H186" i="541"/>
  <c r="I186" i="541"/>
  <c r="J186" i="541"/>
  <c r="K186" i="541"/>
  <c r="L186" i="541"/>
  <c r="M186" i="541"/>
  <c r="N186" i="541"/>
  <c r="O186" i="541"/>
  <c r="P186" i="541"/>
  <c r="Q186" i="541"/>
  <c r="R186" i="541"/>
  <c r="H186" i="542"/>
  <c r="I186" i="542"/>
  <c r="J186" i="542"/>
  <c r="K186" i="542"/>
  <c r="L186" i="542"/>
  <c r="M186" i="542"/>
  <c r="N186" i="542"/>
  <c r="O186" i="542"/>
  <c r="P186" i="542"/>
  <c r="Q186" i="542"/>
  <c r="R186" i="542"/>
  <c r="H186" i="543"/>
  <c r="I186" i="543"/>
  <c r="J186" i="543"/>
  <c r="K186" i="543"/>
  <c r="L186" i="543"/>
  <c r="M186" i="543"/>
  <c r="N186" i="543"/>
  <c r="O186" i="543"/>
  <c r="P186" i="543"/>
  <c r="Q186" i="543"/>
  <c r="R186" i="543"/>
  <c r="H186" i="544"/>
  <c r="I186" i="544"/>
  <c r="J186" i="544"/>
  <c r="K186" i="544"/>
  <c r="L186" i="544"/>
  <c r="M186" i="544"/>
  <c r="N186" i="544"/>
  <c r="O186" i="544"/>
  <c r="P186" i="544"/>
  <c r="Q186" i="544"/>
  <c r="R186" i="544"/>
  <c r="H186" i="545"/>
  <c r="I186" i="545"/>
  <c r="J186" i="545"/>
  <c r="K186" i="545"/>
  <c r="L186" i="545"/>
  <c r="M186" i="545"/>
  <c r="N186" i="545"/>
  <c r="O186" i="545"/>
  <c r="P186" i="545"/>
  <c r="Q186" i="545"/>
  <c r="R186" i="545"/>
  <c r="G186" i="270"/>
  <c r="G186" i="531"/>
  <c r="G186" i="532"/>
  <c r="G186" i="533"/>
  <c r="G186" i="534"/>
  <c r="G186" i="535"/>
  <c r="G186" i="536"/>
  <c r="G186" i="537"/>
  <c r="G186" i="538"/>
  <c r="G186" i="539"/>
  <c r="G186" i="540"/>
  <c r="G186" i="541"/>
  <c r="G186" i="542"/>
  <c r="G186" i="543"/>
  <c r="G186" i="544"/>
  <c r="G186" i="545"/>
  <c r="B74" i="545"/>
  <c r="B75" i="545"/>
  <c r="B76" i="545"/>
  <c r="B77" i="545"/>
  <c r="B78" i="545"/>
  <c r="B79" i="545"/>
  <c r="B80" i="545"/>
  <c r="B81" i="545"/>
  <c r="B82" i="545"/>
  <c r="B83" i="545"/>
  <c r="B84" i="545"/>
  <c r="B85" i="545"/>
  <c r="B86" i="545"/>
  <c r="B87" i="545"/>
  <c r="B88" i="545"/>
  <c r="B89" i="545"/>
  <c r="B90" i="545"/>
  <c r="B91" i="545"/>
  <c r="B92" i="545"/>
  <c r="B93" i="545"/>
  <c r="B94" i="545"/>
  <c r="B95" i="545"/>
  <c r="B96" i="545"/>
  <c r="B97" i="545"/>
  <c r="B98" i="545"/>
  <c r="B99" i="545"/>
  <c r="B100" i="545"/>
  <c r="B101" i="545"/>
  <c r="B102" i="545"/>
  <c r="B103" i="545"/>
  <c r="B104" i="545"/>
  <c r="B105" i="545"/>
  <c r="D205" i="545"/>
  <c r="B173" i="545"/>
  <c r="B174" i="545"/>
  <c r="B175" i="545"/>
  <c r="B176" i="545"/>
  <c r="B177" i="545"/>
  <c r="B178" i="545"/>
  <c r="B179" i="545"/>
  <c r="B180" i="545"/>
  <c r="B181" i="545"/>
  <c r="B182" i="545"/>
  <c r="B183" i="545"/>
  <c r="B184" i="545"/>
  <c r="B185" i="545"/>
  <c r="B186" i="545"/>
  <c r="B187" i="545"/>
  <c r="B188" i="545"/>
  <c r="B189" i="545"/>
  <c r="B190" i="545"/>
  <c r="B191" i="545"/>
  <c r="B192" i="545"/>
  <c r="B193" i="545"/>
  <c r="B194" i="545"/>
  <c r="B195" i="545"/>
  <c r="B196" i="545"/>
  <c r="B197" i="545"/>
  <c r="B198" i="545"/>
  <c r="B199" i="545"/>
  <c r="B200" i="545"/>
  <c r="B201" i="545"/>
  <c r="B202" i="545"/>
  <c r="B203" i="545"/>
  <c r="B204" i="545"/>
  <c r="B205" i="545"/>
  <c r="D204" i="545"/>
  <c r="R203" i="545"/>
  <c r="Q203" i="545"/>
  <c r="P203" i="545"/>
  <c r="O203" i="545"/>
  <c r="N203" i="545"/>
  <c r="M203" i="545"/>
  <c r="L203" i="545"/>
  <c r="K203" i="545"/>
  <c r="J203" i="545"/>
  <c r="I203" i="545"/>
  <c r="H203" i="545"/>
  <c r="G203" i="545"/>
  <c r="D203" i="545"/>
  <c r="R202" i="545"/>
  <c r="Q202" i="545"/>
  <c r="P202" i="545"/>
  <c r="O202" i="545"/>
  <c r="N202" i="545"/>
  <c r="M202" i="545"/>
  <c r="L202" i="545"/>
  <c r="K202" i="545"/>
  <c r="J202" i="545"/>
  <c r="I202" i="545"/>
  <c r="H202" i="545"/>
  <c r="G202" i="545"/>
  <c r="D202" i="545"/>
  <c r="D201" i="545"/>
  <c r="D200" i="545"/>
  <c r="D199" i="545"/>
  <c r="D198" i="545"/>
  <c r="D197" i="545"/>
  <c r="D196" i="545"/>
  <c r="H26" i="545"/>
  <c r="I26" i="545"/>
  <c r="J26" i="545"/>
  <c r="K26" i="545"/>
  <c r="L26" i="545"/>
  <c r="M26" i="545"/>
  <c r="N26" i="545"/>
  <c r="O26" i="545"/>
  <c r="P26" i="545"/>
  <c r="Q26" i="545"/>
  <c r="R26" i="545"/>
  <c r="D195" i="545"/>
  <c r="D194" i="545"/>
  <c r="D193" i="545"/>
  <c r="R64" i="545"/>
  <c r="R102" i="545"/>
  <c r="R90" i="545"/>
  <c r="R91" i="545"/>
  <c r="Q64" i="545"/>
  <c r="Q102" i="545"/>
  <c r="Q90" i="545"/>
  <c r="Q91" i="545"/>
  <c r="P64" i="545"/>
  <c r="P102" i="545"/>
  <c r="P90" i="545"/>
  <c r="P91" i="545"/>
  <c r="O64" i="545"/>
  <c r="O102" i="545"/>
  <c r="O90" i="545"/>
  <c r="O91" i="545"/>
  <c r="N64" i="545"/>
  <c r="N102" i="545"/>
  <c r="N90" i="545"/>
  <c r="N91" i="545"/>
  <c r="M64" i="545"/>
  <c r="M102" i="545"/>
  <c r="M90" i="545"/>
  <c r="M91" i="545"/>
  <c r="L64" i="545"/>
  <c r="L102" i="545"/>
  <c r="L90" i="545"/>
  <c r="L91" i="545"/>
  <c r="K64" i="545"/>
  <c r="K102" i="545"/>
  <c r="K90" i="545"/>
  <c r="K91" i="545"/>
  <c r="J64" i="545"/>
  <c r="J102" i="545"/>
  <c r="J90" i="545"/>
  <c r="J91" i="545"/>
  <c r="I64" i="545"/>
  <c r="I102" i="545"/>
  <c r="I90" i="545"/>
  <c r="I91" i="545"/>
  <c r="H64" i="545"/>
  <c r="H102" i="545"/>
  <c r="H90" i="545"/>
  <c r="H91" i="545"/>
  <c r="G102" i="545"/>
  <c r="G90" i="545"/>
  <c r="G91" i="545"/>
  <c r="D192" i="545"/>
  <c r="D191" i="545"/>
  <c r="D190" i="545"/>
  <c r="D189" i="545"/>
  <c r="R188" i="545"/>
  <c r="Q188" i="545"/>
  <c r="P188" i="545"/>
  <c r="O188" i="545"/>
  <c r="N188" i="545"/>
  <c r="M188" i="545"/>
  <c r="L188" i="545"/>
  <c r="K188" i="545"/>
  <c r="J188" i="545"/>
  <c r="I188" i="545"/>
  <c r="H188" i="545"/>
  <c r="G188" i="545"/>
  <c r="D188" i="545"/>
  <c r="R187" i="545"/>
  <c r="Q187" i="545"/>
  <c r="P187" i="545"/>
  <c r="O187" i="545"/>
  <c r="N187" i="545"/>
  <c r="M187" i="545"/>
  <c r="L187" i="545"/>
  <c r="K187" i="545"/>
  <c r="J187" i="545"/>
  <c r="I187" i="545"/>
  <c r="H187" i="545"/>
  <c r="G187" i="545"/>
  <c r="D187" i="545"/>
  <c r="D186" i="545"/>
  <c r="R185" i="545"/>
  <c r="Q185" i="545"/>
  <c r="P185" i="545"/>
  <c r="O185" i="545"/>
  <c r="N185" i="545"/>
  <c r="M185" i="545"/>
  <c r="L185" i="545"/>
  <c r="K185" i="545"/>
  <c r="J185" i="545"/>
  <c r="I185" i="545"/>
  <c r="H185" i="545"/>
  <c r="G185" i="545"/>
  <c r="D185" i="545"/>
  <c r="R184" i="545"/>
  <c r="Q184" i="545"/>
  <c r="P184" i="545"/>
  <c r="O184" i="545"/>
  <c r="N184" i="545"/>
  <c r="M184" i="545"/>
  <c r="L184" i="545"/>
  <c r="K184" i="545"/>
  <c r="J184" i="545"/>
  <c r="I184" i="545"/>
  <c r="H184" i="545"/>
  <c r="G184" i="545"/>
  <c r="D184" i="545"/>
  <c r="R183" i="545"/>
  <c r="Q183" i="545"/>
  <c r="P183" i="545"/>
  <c r="O183" i="545"/>
  <c r="N183" i="545"/>
  <c r="M183" i="545"/>
  <c r="L183" i="545"/>
  <c r="K183" i="545"/>
  <c r="J183" i="545"/>
  <c r="I183" i="545"/>
  <c r="H183" i="545"/>
  <c r="G183" i="545"/>
  <c r="D183" i="545"/>
  <c r="R182" i="545"/>
  <c r="Q182" i="545"/>
  <c r="P182" i="545"/>
  <c r="O182" i="545"/>
  <c r="N182" i="545"/>
  <c r="M182" i="545"/>
  <c r="L182" i="545"/>
  <c r="K182" i="545"/>
  <c r="J182" i="545"/>
  <c r="I182" i="545"/>
  <c r="H182" i="545"/>
  <c r="G182" i="545"/>
  <c r="D182" i="545"/>
  <c r="R181" i="545"/>
  <c r="Q181" i="545"/>
  <c r="P181" i="545"/>
  <c r="O181" i="545"/>
  <c r="N181" i="545"/>
  <c r="M181" i="545"/>
  <c r="L181" i="545"/>
  <c r="K181" i="545"/>
  <c r="J181" i="545"/>
  <c r="I181" i="545"/>
  <c r="H181" i="545"/>
  <c r="G181" i="545"/>
  <c r="D181" i="545"/>
  <c r="R180" i="545"/>
  <c r="Q180" i="545"/>
  <c r="P180" i="545"/>
  <c r="O180" i="545"/>
  <c r="N180" i="545"/>
  <c r="M180" i="545"/>
  <c r="L180" i="545"/>
  <c r="K180" i="545"/>
  <c r="J180" i="545"/>
  <c r="I180" i="545"/>
  <c r="H180" i="545"/>
  <c r="G180" i="545"/>
  <c r="D180" i="545"/>
  <c r="R179" i="545"/>
  <c r="Q179" i="545"/>
  <c r="P179" i="545"/>
  <c r="O179" i="545"/>
  <c r="N179" i="545"/>
  <c r="M179" i="545"/>
  <c r="L179" i="545"/>
  <c r="K179" i="545"/>
  <c r="J179" i="545"/>
  <c r="I179" i="545"/>
  <c r="H179" i="545"/>
  <c r="G179" i="545"/>
  <c r="D179" i="545"/>
  <c r="R178" i="545"/>
  <c r="Q178" i="545"/>
  <c r="P178" i="545"/>
  <c r="O178" i="545"/>
  <c r="N178" i="545"/>
  <c r="M178" i="545"/>
  <c r="L178" i="545"/>
  <c r="K178" i="545"/>
  <c r="J178" i="545"/>
  <c r="I178" i="545"/>
  <c r="H178" i="545"/>
  <c r="G178" i="545"/>
  <c r="D178" i="545"/>
  <c r="R177" i="545"/>
  <c r="Q177" i="545"/>
  <c r="P177" i="545"/>
  <c r="O177" i="545"/>
  <c r="N177" i="545"/>
  <c r="M177" i="545"/>
  <c r="L177" i="545"/>
  <c r="K177" i="545"/>
  <c r="J177" i="545"/>
  <c r="I177" i="545"/>
  <c r="H177" i="545"/>
  <c r="G177" i="545"/>
  <c r="D177" i="545"/>
  <c r="R176" i="545"/>
  <c r="Q176" i="545"/>
  <c r="P176" i="545"/>
  <c r="O176" i="545"/>
  <c r="N176" i="545"/>
  <c r="M176" i="545"/>
  <c r="L176" i="545"/>
  <c r="K176" i="545"/>
  <c r="J176" i="545"/>
  <c r="I176" i="545"/>
  <c r="H176" i="545"/>
  <c r="G176" i="545"/>
  <c r="D176" i="545"/>
  <c r="R175" i="545"/>
  <c r="Q175" i="545"/>
  <c r="P175" i="545"/>
  <c r="O175" i="545"/>
  <c r="N175" i="545"/>
  <c r="M175" i="545"/>
  <c r="L175" i="545"/>
  <c r="K175" i="545"/>
  <c r="J175" i="545"/>
  <c r="I175" i="545"/>
  <c r="H175" i="545"/>
  <c r="G175" i="545"/>
  <c r="D175" i="545"/>
  <c r="R174" i="545"/>
  <c r="Q174" i="545"/>
  <c r="P174" i="545"/>
  <c r="O174" i="545"/>
  <c r="N174" i="545"/>
  <c r="M174" i="545"/>
  <c r="L174" i="545"/>
  <c r="K174" i="545"/>
  <c r="J174" i="545"/>
  <c r="I174" i="545"/>
  <c r="H174" i="545"/>
  <c r="G174" i="545"/>
  <c r="D174" i="545"/>
  <c r="D173" i="545"/>
  <c r="G64" i="545"/>
  <c r="R172" i="545"/>
  <c r="Q172" i="545"/>
  <c r="P172" i="545"/>
  <c r="O172" i="545"/>
  <c r="N172" i="545"/>
  <c r="M172" i="545"/>
  <c r="L172" i="545"/>
  <c r="K172" i="545"/>
  <c r="J172" i="545"/>
  <c r="I172" i="545"/>
  <c r="H172" i="545"/>
  <c r="G172" i="545"/>
  <c r="R170" i="545"/>
  <c r="Q170" i="545"/>
  <c r="P170" i="545"/>
  <c r="O170" i="545"/>
  <c r="N170" i="545"/>
  <c r="M170" i="545"/>
  <c r="L170" i="545"/>
  <c r="K170" i="545"/>
  <c r="J170" i="545"/>
  <c r="I170" i="545"/>
  <c r="H170" i="545"/>
  <c r="G170" i="545"/>
  <c r="D170" i="545"/>
  <c r="R169" i="545"/>
  <c r="Q169" i="545"/>
  <c r="P169" i="545"/>
  <c r="O169" i="545"/>
  <c r="N169" i="545"/>
  <c r="M169" i="545"/>
  <c r="L169" i="545"/>
  <c r="K169" i="545"/>
  <c r="J169" i="545"/>
  <c r="I169" i="545"/>
  <c r="H169" i="545"/>
  <c r="G169" i="545"/>
  <c r="D169" i="545"/>
  <c r="R168" i="545"/>
  <c r="Q168" i="545"/>
  <c r="P168" i="545"/>
  <c r="O168" i="545"/>
  <c r="N168" i="545"/>
  <c r="M168" i="545"/>
  <c r="L168" i="545"/>
  <c r="K168" i="545"/>
  <c r="J168" i="545"/>
  <c r="I168" i="545"/>
  <c r="H168" i="545"/>
  <c r="G168" i="545"/>
  <c r="D168" i="545"/>
  <c r="D167" i="545"/>
  <c r="R166" i="545"/>
  <c r="Q166" i="545"/>
  <c r="P166" i="545"/>
  <c r="O166" i="545"/>
  <c r="N166" i="545"/>
  <c r="M166" i="545"/>
  <c r="L166" i="545"/>
  <c r="K166" i="545"/>
  <c r="J166" i="545"/>
  <c r="I166" i="545"/>
  <c r="H166" i="545"/>
  <c r="G166" i="545"/>
  <c r="D166" i="545"/>
  <c r="R165" i="545"/>
  <c r="Q165" i="545"/>
  <c r="P165" i="545"/>
  <c r="O165" i="545"/>
  <c r="N165" i="545"/>
  <c r="M165" i="545"/>
  <c r="L165" i="545"/>
  <c r="K165" i="545"/>
  <c r="J165" i="545"/>
  <c r="I165" i="545"/>
  <c r="H165" i="545"/>
  <c r="G165" i="545"/>
  <c r="D165" i="545"/>
  <c r="R164" i="545"/>
  <c r="Q164" i="545"/>
  <c r="P164" i="545"/>
  <c r="O164" i="545"/>
  <c r="N164" i="545"/>
  <c r="M164" i="545"/>
  <c r="L164" i="545"/>
  <c r="K164" i="545"/>
  <c r="J164" i="545"/>
  <c r="I164" i="545"/>
  <c r="H164" i="545"/>
  <c r="G164" i="545"/>
  <c r="D164" i="545"/>
  <c r="R163" i="545"/>
  <c r="Q163" i="545"/>
  <c r="P163" i="545"/>
  <c r="O163" i="545"/>
  <c r="N163" i="545"/>
  <c r="M163" i="545"/>
  <c r="L163" i="545"/>
  <c r="K163" i="545"/>
  <c r="J163" i="545"/>
  <c r="I163" i="545"/>
  <c r="H163" i="545"/>
  <c r="G163" i="545"/>
  <c r="D163" i="545"/>
  <c r="D162" i="545"/>
  <c r="R161" i="545"/>
  <c r="Q161" i="545"/>
  <c r="P161" i="545"/>
  <c r="O161" i="545"/>
  <c r="N161" i="545"/>
  <c r="M161" i="545"/>
  <c r="L161" i="545"/>
  <c r="K161" i="545"/>
  <c r="J161" i="545"/>
  <c r="I161" i="545"/>
  <c r="H161" i="545"/>
  <c r="G161" i="545"/>
  <c r="D161" i="545"/>
  <c r="R160" i="545"/>
  <c r="Q160" i="545"/>
  <c r="P160" i="545"/>
  <c r="O160" i="545"/>
  <c r="N160" i="545"/>
  <c r="M160" i="545"/>
  <c r="L160" i="545"/>
  <c r="K160" i="545"/>
  <c r="J160" i="545"/>
  <c r="I160" i="545"/>
  <c r="H160" i="545"/>
  <c r="G160" i="545"/>
  <c r="D160" i="545"/>
  <c r="R159" i="545"/>
  <c r="Q159" i="545"/>
  <c r="P159" i="545"/>
  <c r="O159" i="545"/>
  <c r="N159" i="545"/>
  <c r="M159" i="545"/>
  <c r="L159" i="545"/>
  <c r="K159" i="545"/>
  <c r="J159" i="545"/>
  <c r="I159" i="545"/>
  <c r="H159" i="545"/>
  <c r="G159" i="545"/>
  <c r="D159" i="545"/>
  <c r="R158" i="545"/>
  <c r="Q158" i="545"/>
  <c r="P158" i="545"/>
  <c r="O158" i="545"/>
  <c r="N158" i="545"/>
  <c r="M158" i="545"/>
  <c r="L158" i="545"/>
  <c r="K158" i="545"/>
  <c r="J158" i="545"/>
  <c r="I158" i="545"/>
  <c r="H158" i="545"/>
  <c r="G158" i="545"/>
  <c r="D158" i="545"/>
  <c r="R157" i="545"/>
  <c r="Q157" i="545"/>
  <c r="P157" i="545"/>
  <c r="O157" i="545"/>
  <c r="N157" i="545"/>
  <c r="M157" i="545"/>
  <c r="L157" i="545"/>
  <c r="K157" i="545"/>
  <c r="J157" i="545"/>
  <c r="I157" i="545"/>
  <c r="H157" i="545"/>
  <c r="G157" i="545"/>
  <c r="D157" i="545"/>
  <c r="R156" i="545"/>
  <c r="Q156" i="545"/>
  <c r="P156" i="545"/>
  <c r="O156" i="545"/>
  <c r="N156" i="545"/>
  <c r="M156" i="545"/>
  <c r="L156" i="545"/>
  <c r="K156" i="545"/>
  <c r="J156" i="545"/>
  <c r="I156" i="545"/>
  <c r="H156" i="545"/>
  <c r="G156" i="545"/>
  <c r="D156" i="545"/>
  <c r="R155" i="545"/>
  <c r="Q155" i="545"/>
  <c r="P155" i="545"/>
  <c r="O155" i="545"/>
  <c r="N155" i="545"/>
  <c r="M155" i="545"/>
  <c r="L155" i="545"/>
  <c r="K155" i="545"/>
  <c r="J155" i="545"/>
  <c r="I155" i="545"/>
  <c r="H155" i="545"/>
  <c r="G155" i="545"/>
  <c r="D155" i="545"/>
  <c r="R154" i="545"/>
  <c r="Q154" i="545"/>
  <c r="P154" i="545"/>
  <c r="O154" i="545"/>
  <c r="N154" i="545"/>
  <c r="M154" i="545"/>
  <c r="L154" i="545"/>
  <c r="K154" i="545"/>
  <c r="J154" i="545"/>
  <c r="I154" i="545"/>
  <c r="H154" i="545"/>
  <c r="G154" i="545"/>
  <c r="D154" i="545"/>
  <c r="R153" i="545"/>
  <c r="Q153" i="545"/>
  <c r="P153" i="545"/>
  <c r="O153" i="545"/>
  <c r="N153" i="545"/>
  <c r="M153" i="545"/>
  <c r="L153" i="545"/>
  <c r="K153" i="545"/>
  <c r="J153" i="545"/>
  <c r="I153" i="545"/>
  <c r="H153" i="545"/>
  <c r="G153" i="545"/>
  <c r="D153" i="545"/>
  <c r="R152" i="545"/>
  <c r="Q152" i="545"/>
  <c r="P152" i="545"/>
  <c r="O152" i="545"/>
  <c r="N152" i="545"/>
  <c r="M152" i="545"/>
  <c r="L152" i="545"/>
  <c r="K152" i="545"/>
  <c r="J152" i="545"/>
  <c r="I152" i="545"/>
  <c r="H152" i="545"/>
  <c r="G152" i="545"/>
  <c r="D152" i="545"/>
  <c r="R151" i="545"/>
  <c r="Q151" i="545"/>
  <c r="P151" i="545"/>
  <c r="O151" i="545"/>
  <c r="N151" i="545"/>
  <c r="M151" i="545"/>
  <c r="L151" i="545"/>
  <c r="K151" i="545"/>
  <c r="J151" i="545"/>
  <c r="I151" i="545"/>
  <c r="H151" i="545"/>
  <c r="G151" i="545"/>
  <c r="D151" i="545"/>
  <c r="G150" i="545"/>
  <c r="D150" i="545"/>
  <c r="G149" i="545"/>
  <c r="D149" i="545"/>
  <c r="G148" i="545"/>
  <c r="D148" i="545"/>
  <c r="N143" i="545"/>
  <c r="M143" i="545"/>
  <c r="L143" i="545"/>
  <c r="K143" i="545"/>
  <c r="J143" i="545"/>
  <c r="I143" i="545"/>
  <c r="H143" i="545"/>
  <c r="G143" i="545"/>
  <c r="G147" i="545"/>
  <c r="D147" i="545"/>
  <c r="G146" i="545"/>
  <c r="D146" i="545"/>
  <c r="R145" i="545"/>
  <c r="Q145" i="545"/>
  <c r="P145" i="545"/>
  <c r="O145" i="545"/>
  <c r="N145" i="545"/>
  <c r="M145" i="545"/>
  <c r="L145" i="545"/>
  <c r="K145" i="545"/>
  <c r="J145" i="545"/>
  <c r="I145" i="545"/>
  <c r="H145" i="545"/>
  <c r="G145" i="545"/>
  <c r="D145" i="545"/>
  <c r="R143" i="545"/>
  <c r="Q143" i="545"/>
  <c r="P143" i="545"/>
  <c r="O143" i="545"/>
  <c r="R142" i="545"/>
  <c r="Q142" i="545"/>
  <c r="P142" i="545"/>
  <c r="O142" i="545"/>
  <c r="N142" i="545"/>
  <c r="M142" i="545"/>
  <c r="L142" i="545"/>
  <c r="K142" i="545"/>
  <c r="J142" i="545"/>
  <c r="I142" i="545"/>
  <c r="H142" i="545"/>
  <c r="G142" i="545"/>
  <c r="R109" i="545"/>
  <c r="R141" i="545"/>
  <c r="Q109" i="545"/>
  <c r="Q141" i="545"/>
  <c r="P109" i="545"/>
  <c r="P141" i="545"/>
  <c r="O109" i="545"/>
  <c r="O141" i="545"/>
  <c r="N109" i="545"/>
  <c r="N141" i="545"/>
  <c r="M109" i="545"/>
  <c r="M141" i="545"/>
  <c r="L109" i="545"/>
  <c r="L141" i="545"/>
  <c r="K109" i="545"/>
  <c r="K141" i="545"/>
  <c r="J109" i="545"/>
  <c r="J141" i="545"/>
  <c r="I109" i="545"/>
  <c r="I141" i="545"/>
  <c r="H109" i="545"/>
  <c r="H141" i="545"/>
  <c r="G109" i="545"/>
  <c r="G141" i="545"/>
  <c r="R139" i="545"/>
  <c r="Q139" i="545"/>
  <c r="P139" i="545"/>
  <c r="O139" i="545"/>
  <c r="N139" i="545"/>
  <c r="M139" i="545"/>
  <c r="L139" i="545"/>
  <c r="K139" i="545"/>
  <c r="J139" i="545"/>
  <c r="I139" i="545"/>
  <c r="H139" i="545"/>
  <c r="G139" i="545"/>
  <c r="G121" i="545"/>
  <c r="G122" i="545"/>
  <c r="G123" i="545"/>
  <c r="I123" i="545"/>
  <c r="I124" i="545"/>
  <c r="H123" i="545"/>
  <c r="H124" i="545"/>
  <c r="G124" i="545"/>
  <c r="I122" i="545"/>
  <c r="B106" i="545"/>
  <c r="B107" i="545"/>
  <c r="B108" i="545"/>
  <c r="B109" i="545"/>
  <c r="B110" i="545"/>
  <c r="B111" i="545"/>
  <c r="B112" i="545"/>
  <c r="B113" i="545"/>
  <c r="S107" i="545"/>
  <c r="S106" i="545"/>
  <c r="G65" i="545"/>
  <c r="G66" i="545"/>
  <c r="G67" i="545"/>
  <c r="G73" i="545"/>
  <c r="G92" i="545"/>
  <c r="G93" i="545"/>
  <c r="G94" i="545"/>
  <c r="G95" i="545"/>
  <c r="G104" i="545"/>
  <c r="G105" i="545"/>
  <c r="H65" i="545"/>
  <c r="H66" i="545"/>
  <c r="H67" i="545"/>
  <c r="H73" i="545"/>
  <c r="H92" i="545"/>
  <c r="H93" i="545"/>
  <c r="H27" i="545"/>
  <c r="H94" i="545"/>
  <c r="H95" i="545"/>
  <c r="H104" i="545"/>
  <c r="H105" i="545"/>
  <c r="I65" i="545"/>
  <c r="I66" i="545"/>
  <c r="I67" i="545"/>
  <c r="I73" i="545"/>
  <c r="I92" i="545"/>
  <c r="I93" i="545"/>
  <c r="I27" i="545"/>
  <c r="I94" i="545"/>
  <c r="I95" i="545"/>
  <c r="I104" i="545"/>
  <c r="I105" i="545"/>
  <c r="J65" i="545"/>
  <c r="J66" i="545"/>
  <c r="J67" i="545"/>
  <c r="J73" i="545"/>
  <c r="J92" i="545"/>
  <c r="J93" i="545"/>
  <c r="J27" i="545"/>
  <c r="J94" i="545"/>
  <c r="J95" i="545"/>
  <c r="J104" i="545"/>
  <c r="J105" i="545"/>
  <c r="K65" i="545"/>
  <c r="K66" i="545"/>
  <c r="K67" i="545"/>
  <c r="K73" i="545"/>
  <c r="K92" i="545"/>
  <c r="K93" i="545"/>
  <c r="K27" i="545"/>
  <c r="K94" i="545"/>
  <c r="K95" i="545"/>
  <c r="K104" i="545"/>
  <c r="K105" i="545"/>
  <c r="L65" i="545"/>
  <c r="L66" i="545"/>
  <c r="L67" i="545"/>
  <c r="L73" i="545"/>
  <c r="L92" i="545"/>
  <c r="L93" i="545"/>
  <c r="L27" i="545"/>
  <c r="L94" i="545"/>
  <c r="L95" i="545"/>
  <c r="L104" i="545"/>
  <c r="L105" i="545"/>
  <c r="M65" i="545"/>
  <c r="M66" i="545"/>
  <c r="M67" i="545"/>
  <c r="M73" i="545"/>
  <c r="M92" i="545"/>
  <c r="M93" i="545"/>
  <c r="M27" i="545"/>
  <c r="M94" i="545"/>
  <c r="M95" i="545"/>
  <c r="M104" i="545"/>
  <c r="M105" i="545"/>
  <c r="N65" i="545"/>
  <c r="N66" i="545"/>
  <c r="N67" i="545"/>
  <c r="N73" i="545"/>
  <c r="N92" i="545"/>
  <c r="N93" i="545"/>
  <c r="N27" i="545"/>
  <c r="N94" i="545"/>
  <c r="N95" i="545"/>
  <c r="N104" i="545"/>
  <c r="N105" i="545"/>
  <c r="O65" i="545"/>
  <c r="O66" i="545"/>
  <c r="O67" i="545"/>
  <c r="O73" i="545"/>
  <c r="O92" i="545"/>
  <c r="O93" i="545"/>
  <c r="O27" i="545"/>
  <c r="O94" i="545"/>
  <c r="O95" i="545"/>
  <c r="O104" i="545"/>
  <c r="O105" i="545"/>
  <c r="P65" i="545"/>
  <c r="P66" i="545"/>
  <c r="P67" i="545"/>
  <c r="P73" i="545"/>
  <c r="P92" i="545"/>
  <c r="P93" i="545"/>
  <c r="P27" i="545"/>
  <c r="P94" i="545"/>
  <c r="P95" i="545"/>
  <c r="P104" i="545"/>
  <c r="P105" i="545"/>
  <c r="Q65" i="545"/>
  <c r="Q66" i="545"/>
  <c r="Q67" i="545"/>
  <c r="Q73" i="545"/>
  <c r="Q92" i="545"/>
  <c r="Q93" i="545"/>
  <c r="Q27" i="545"/>
  <c r="Q94" i="545"/>
  <c r="Q95" i="545"/>
  <c r="Q104" i="545"/>
  <c r="Q105" i="545"/>
  <c r="R65" i="545"/>
  <c r="R66" i="545"/>
  <c r="R67" i="545"/>
  <c r="R73" i="545"/>
  <c r="R92" i="545"/>
  <c r="R93" i="545"/>
  <c r="R27" i="545"/>
  <c r="R94" i="545"/>
  <c r="R95" i="545"/>
  <c r="R104" i="545"/>
  <c r="R105" i="545"/>
  <c r="S105" i="545"/>
  <c r="S104" i="545"/>
  <c r="G103" i="545"/>
  <c r="H103" i="545"/>
  <c r="I103" i="545"/>
  <c r="J103" i="545"/>
  <c r="K103" i="545"/>
  <c r="L103" i="545"/>
  <c r="M103" i="545"/>
  <c r="N103" i="545"/>
  <c r="O103" i="545"/>
  <c r="P103" i="545"/>
  <c r="Q103" i="545"/>
  <c r="R103" i="545"/>
  <c r="S103" i="545"/>
  <c r="S102" i="545"/>
  <c r="G98" i="545"/>
  <c r="G99" i="545"/>
  <c r="G101" i="545"/>
  <c r="H98" i="545"/>
  <c r="H99" i="545"/>
  <c r="H101" i="545"/>
  <c r="I98" i="545"/>
  <c r="I99" i="545"/>
  <c r="I101" i="545"/>
  <c r="J98" i="545"/>
  <c r="J99" i="545"/>
  <c r="J101" i="545"/>
  <c r="K98" i="545"/>
  <c r="K99" i="545"/>
  <c r="K101" i="545"/>
  <c r="L98" i="545"/>
  <c r="L99" i="545"/>
  <c r="L101" i="545"/>
  <c r="M98" i="545"/>
  <c r="M99" i="545"/>
  <c r="M101" i="545"/>
  <c r="N98" i="545"/>
  <c r="N99" i="545"/>
  <c r="N101" i="545"/>
  <c r="O98" i="545"/>
  <c r="O99" i="545"/>
  <c r="O101" i="545"/>
  <c r="P98" i="545"/>
  <c r="P99" i="545"/>
  <c r="P101" i="545"/>
  <c r="Q98" i="545"/>
  <c r="Q99" i="545"/>
  <c r="Q101" i="545"/>
  <c r="R98" i="545"/>
  <c r="R99" i="545"/>
  <c r="R101" i="545"/>
  <c r="S101" i="545"/>
  <c r="G100" i="545"/>
  <c r="H100" i="545"/>
  <c r="I100" i="545"/>
  <c r="J100" i="545"/>
  <c r="K100" i="545"/>
  <c r="L100" i="545"/>
  <c r="M100" i="545"/>
  <c r="N100" i="545"/>
  <c r="O100" i="545"/>
  <c r="P100" i="545"/>
  <c r="Q100" i="545"/>
  <c r="R100" i="545"/>
  <c r="S100" i="545"/>
  <c r="S99" i="545"/>
  <c r="S98" i="545"/>
  <c r="S97" i="545"/>
  <c r="S95" i="545"/>
  <c r="S93" i="545"/>
  <c r="S92" i="545"/>
  <c r="S91" i="545"/>
  <c r="S90" i="545"/>
  <c r="S89" i="545"/>
  <c r="S88" i="545"/>
  <c r="S87" i="545"/>
  <c r="S86" i="545"/>
  <c r="S85" i="545"/>
  <c r="S84" i="545"/>
  <c r="S83" i="545"/>
  <c r="S82" i="545"/>
  <c r="D82" i="545"/>
  <c r="S81" i="545"/>
  <c r="D81" i="545"/>
  <c r="S80" i="545"/>
  <c r="D80" i="545"/>
  <c r="S79" i="545"/>
  <c r="D79" i="545"/>
  <c r="S78" i="545"/>
  <c r="D78" i="545"/>
  <c r="S77" i="545"/>
  <c r="D77" i="545"/>
  <c r="S76" i="545"/>
  <c r="S75" i="545"/>
  <c r="S74" i="545"/>
  <c r="S73" i="545"/>
  <c r="S72" i="545"/>
  <c r="S70" i="545"/>
  <c r="S69" i="545"/>
  <c r="S68" i="545"/>
  <c r="S67" i="545"/>
  <c r="S66" i="545"/>
  <c r="S65" i="545"/>
  <c r="S64" i="545"/>
  <c r="S63" i="545"/>
  <c r="S62" i="545"/>
  <c r="S61" i="545"/>
  <c r="S60" i="545"/>
  <c r="S59" i="545"/>
  <c r="S58" i="545"/>
  <c r="S57" i="545"/>
  <c r="S56" i="545"/>
  <c r="S55" i="545"/>
  <c r="S54" i="545"/>
  <c r="E54" i="545"/>
  <c r="C54" i="545"/>
  <c r="S53" i="545"/>
  <c r="E53" i="545"/>
  <c r="C53" i="545"/>
  <c r="S52" i="545"/>
  <c r="E52" i="545"/>
  <c r="C52" i="545"/>
  <c r="S51" i="545"/>
  <c r="E51" i="545"/>
  <c r="C51" i="545"/>
  <c r="S50" i="545"/>
  <c r="E50" i="545"/>
  <c r="C50" i="545"/>
  <c r="S49" i="545"/>
  <c r="E49" i="545"/>
  <c r="C49" i="545"/>
  <c r="S48" i="545"/>
  <c r="S47" i="545"/>
  <c r="S46" i="545"/>
  <c r="S45" i="545"/>
  <c r="R2" i="545"/>
  <c r="R44" i="545"/>
  <c r="Q2" i="545"/>
  <c r="Q44" i="545"/>
  <c r="P2" i="545"/>
  <c r="P44" i="545"/>
  <c r="O2" i="545"/>
  <c r="O44" i="545"/>
  <c r="N2" i="545"/>
  <c r="N44" i="545"/>
  <c r="M2" i="545"/>
  <c r="M44" i="545"/>
  <c r="L2" i="545"/>
  <c r="L44" i="545"/>
  <c r="K2" i="545"/>
  <c r="K44" i="545"/>
  <c r="J2" i="545"/>
  <c r="J44" i="545"/>
  <c r="I2" i="545"/>
  <c r="I44" i="545"/>
  <c r="H2" i="545"/>
  <c r="H44" i="545"/>
  <c r="G2" i="545"/>
  <c r="G44" i="545"/>
  <c r="A44" i="545"/>
  <c r="R7" i="545"/>
  <c r="Q7" i="545"/>
  <c r="P7" i="545"/>
  <c r="O7" i="545"/>
  <c r="N7" i="545"/>
  <c r="M7" i="545"/>
  <c r="L7" i="545"/>
  <c r="K7" i="545"/>
  <c r="J7" i="545"/>
  <c r="I7" i="545"/>
  <c r="H7" i="545"/>
  <c r="H1" i="545"/>
  <c r="I1" i="545"/>
  <c r="J1" i="545"/>
  <c r="K1" i="545"/>
  <c r="L1" i="545"/>
  <c r="M1" i="545"/>
  <c r="N1" i="545"/>
  <c r="O1" i="545"/>
  <c r="P1" i="545"/>
  <c r="Q1" i="545"/>
  <c r="R1" i="545"/>
  <c r="B74" i="544"/>
  <c r="B75" i="544"/>
  <c r="B76" i="544"/>
  <c r="B77" i="544"/>
  <c r="B78" i="544"/>
  <c r="B79" i="544"/>
  <c r="B80" i="544"/>
  <c r="B81" i="544"/>
  <c r="B82" i="544"/>
  <c r="B83" i="544"/>
  <c r="B84" i="544"/>
  <c r="B85" i="544"/>
  <c r="B86" i="544"/>
  <c r="B87" i="544"/>
  <c r="B88" i="544"/>
  <c r="B89" i="544"/>
  <c r="B90" i="544"/>
  <c r="B91" i="544"/>
  <c r="B92" i="544"/>
  <c r="B93" i="544"/>
  <c r="B94" i="544"/>
  <c r="B95" i="544"/>
  <c r="B96" i="544"/>
  <c r="B97" i="544"/>
  <c r="B98" i="544"/>
  <c r="B99" i="544"/>
  <c r="B100" i="544"/>
  <c r="B101" i="544"/>
  <c r="B102" i="544"/>
  <c r="B103" i="544"/>
  <c r="B104" i="544"/>
  <c r="B105" i="544"/>
  <c r="D205" i="544"/>
  <c r="B173" i="544"/>
  <c r="B174" i="544"/>
  <c r="B175" i="544"/>
  <c r="B176" i="544"/>
  <c r="B177" i="544"/>
  <c r="B178" i="544"/>
  <c r="B179" i="544"/>
  <c r="B180" i="544"/>
  <c r="B181" i="544"/>
  <c r="B182" i="544"/>
  <c r="B183" i="544"/>
  <c r="B184" i="544"/>
  <c r="B185" i="544"/>
  <c r="B186" i="544"/>
  <c r="B187" i="544"/>
  <c r="B188" i="544"/>
  <c r="B189" i="544"/>
  <c r="B190" i="544"/>
  <c r="B191" i="544"/>
  <c r="B192" i="544"/>
  <c r="B193" i="544"/>
  <c r="B194" i="544"/>
  <c r="B195" i="544"/>
  <c r="B196" i="544"/>
  <c r="B197" i="544"/>
  <c r="B198" i="544"/>
  <c r="B199" i="544"/>
  <c r="B200" i="544"/>
  <c r="B201" i="544"/>
  <c r="B202" i="544"/>
  <c r="B203" i="544"/>
  <c r="B204" i="544"/>
  <c r="B205" i="544"/>
  <c r="D204" i="544"/>
  <c r="R203" i="544"/>
  <c r="Q203" i="544"/>
  <c r="P203" i="544"/>
  <c r="O203" i="544"/>
  <c r="N203" i="544"/>
  <c r="M203" i="544"/>
  <c r="L203" i="544"/>
  <c r="K203" i="544"/>
  <c r="J203" i="544"/>
  <c r="I203" i="544"/>
  <c r="H203" i="544"/>
  <c r="G203" i="544"/>
  <c r="D203" i="544"/>
  <c r="R202" i="544"/>
  <c r="Q202" i="544"/>
  <c r="P202" i="544"/>
  <c r="O202" i="544"/>
  <c r="N202" i="544"/>
  <c r="M202" i="544"/>
  <c r="L202" i="544"/>
  <c r="K202" i="544"/>
  <c r="J202" i="544"/>
  <c r="I202" i="544"/>
  <c r="H202" i="544"/>
  <c r="G202" i="544"/>
  <c r="D202" i="544"/>
  <c r="D201" i="544"/>
  <c r="D200" i="544"/>
  <c r="D199" i="544"/>
  <c r="D198" i="544"/>
  <c r="D197" i="544"/>
  <c r="D196" i="544"/>
  <c r="H26" i="544"/>
  <c r="I26" i="544"/>
  <c r="J26" i="544"/>
  <c r="K26" i="544"/>
  <c r="L26" i="544"/>
  <c r="M26" i="544"/>
  <c r="N26" i="544"/>
  <c r="O26" i="544"/>
  <c r="P26" i="544"/>
  <c r="Q26" i="544"/>
  <c r="R26" i="544"/>
  <c r="D195" i="544"/>
  <c r="D194" i="544"/>
  <c r="D193" i="544"/>
  <c r="R64" i="544"/>
  <c r="R102" i="544"/>
  <c r="R90" i="544"/>
  <c r="R91" i="544"/>
  <c r="Q64" i="544"/>
  <c r="Q102" i="544"/>
  <c r="Q90" i="544"/>
  <c r="Q91" i="544"/>
  <c r="P64" i="544"/>
  <c r="P102" i="544"/>
  <c r="P90" i="544"/>
  <c r="P91" i="544"/>
  <c r="O64" i="544"/>
  <c r="O102" i="544"/>
  <c r="O90" i="544"/>
  <c r="O91" i="544"/>
  <c r="N64" i="544"/>
  <c r="N102" i="544"/>
  <c r="N90" i="544"/>
  <c r="N91" i="544"/>
  <c r="M64" i="544"/>
  <c r="M102" i="544"/>
  <c r="M90" i="544"/>
  <c r="M91" i="544"/>
  <c r="L64" i="544"/>
  <c r="L102" i="544"/>
  <c r="L90" i="544"/>
  <c r="L91" i="544"/>
  <c r="K64" i="544"/>
  <c r="K102" i="544"/>
  <c r="K90" i="544"/>
  <c r="K91" i="544"/>
  <c r="J64" i="544"/>
  <c r="J102" i="544"/>
  <c r="J90" i="544"/>
  <c r="J91" i="544"/>
  <c r="I64" i="544"/>
  <c r="I102" i="544"/>
  <c r="I90" i="544"/>
  <c r="I91" i="544"/>
  <c r="H64" i="544"/>
  <c r="H102" i="544"/>
  <c r="H90" i="544"/>
  <c r="H91" i="544"/>
  <c r="G102" i="544"/>
  <c r="G90" i="544"/>
  <c r="G91" i="544"/>
  <c r="D192" i="544"/>
  <c r="D191" i="544"/>
  <c r="D190" i="544"/>
  <c r="D189" i="544"/>
  <c r="R188" i="544"/>
  <c r="Q188" i="544"/>
  <c r="P188" i="544"/>
  <c r="O188" i="544"/>
  <c r="N188" i="544"/>
  <c r="M188" i="544"/>
  <c r="L188" i="544"/>
  <c r="K188" i="544"/>
  <c r="J188" i="544"/>
  <c r="I188" i="544"/>
  <c r="H188" i="544"/>
  <c r="G188" i="544"/>
  <c r="D188" i="544"/>
  <c r="R187" i="544"/>
  <c r="Q187" i="544"/>
  <c r="P187" i="544"/>
  <c r="O187" i="544"/>
  <c r="N187" i="544"/>
  <c r="M187" i="544"/>
  <c r="L187" i="544"/>
  <c r="K187" i="544"/>
  <c r="J187" i="544"/>
  <c r="I187" i="544"/>
  <c r="H187" i="544"/>
  <c r="G187" i="544"/>
  <c r="D187" i="544"/>
  <c r="D186" i="544"/>
  <c r="R185" i="544"/>
  <c r="Q185" i="544"/>
  <c r="P185" i="544"/>
  <c r="O185" i="544"/>
  <c r="N185" i="544"/>
  <c r="M185" i="544"/>
  <c r="L185" i="544"/>
  <c r="K185" i="544"/>
  <c r="J185" i="544"/>
  <c r="I185" i="544"/>
  <c r="H185" i="544"/>
  <c r="G185" i="544"/>
  <c r="D185" i="544"/>
  <c r="R184" i="544"/>
  <c r="Q184" i="544"/>
  <c r="P184" i="544"/>
  <c r="O184" i="544"/>
  <c r="N184" i="544"/>
  <c r="M184" i="544"/>
  <c r="L184" i="544"/>
  <c r="K184" i="544"/>
  <c r="J184" i="544"/>
  <c r="I184" i="544"/>
  <c r="H184" i="544"/>
  <c r="G184" i="544"/>
  <c r="D184" i="544"/>
  <c r="R183" i="544"/>
  <c r="Q183" i="544"/>
  <c r="P183" i="544"/>
  <c r="O183" i="544"/>
  <c r="N183" i="544"/>
  <c r="M183" i="544"/>
  <c r="L183" i="544"/>
  <c r="K183" i="544"/>
  <c r="J183" i="544"/>
  <c r="I183" i="544"/>
  <c r="H183" i="544"/>
  <c r="G183" i="544"/>
  <c r="D183" i="544"/>
  <c r="R182" i="544"/>
  <c r="Q182" i="544"/>
  <c r="P182" i="544"/>
  <c r="O182" i="544"/>
  <c r="N182" i="544"/>
  <c r="M182" i="544"/>
  <c r="L182" i="544"/>
  <c r="K182" i="544"/>
  <c r="J182" i="544"/>
  <c r="I182" i="544"/>
  <c r="H182" i="544"/>
  <c r="G182" i="544"/>
  <c r="D182" i="544"/>
  <c r="R181" i="544"/>
  <c r="Q181" i="544"/>
  <c r="P181" i="544"/>
  <c r="O181" i="544"/>
  <c r="N181" i="544"/>
  <c r="M181" i="544"/>
  <c r="L181" i="544"/>
  <c r="K181" i="544"/>
  <c r="J181" i="544"/>
  <c r="I181" i="544"/>
  <c r="H181" i="544"/>
  <c r="G181" i="544"/>
  <c r="D181" i="544"/>
  <c r="R180" i="544"/>
  <c r="Q180" i="544"/>
  <c r="P180" i="544"/>
  <c r="O180" i="544"/>
  <c r="N180" i="544"/>
  <c r="M180" i="544"/>
  <c r="L180" i="544"/>
  <c r="K180" i="544"/>
  <c r="J180" i="544"/>
  <c r="I180" i="544"/>
  <c r="H180" i="544"/>
  <c r="G180" i="544"/>
  <c r="D180" i="544"/>
  <c r="R179" i="544"/>
  <c r="Q179" i="544"/>
  <c r="P179" i="544"/>
  <c r="O179" i="544"/>
  <c r="N179" i="544"/>
  <c r="M179" i="544"/>
  <c r="L179" i="544"/>
  <c r="K179" i="544"/>
  <c r="J179" i="544"/>
  <c r="I179" i="544"/>
  <c r="H179" i="544"/>
  <c r="G179" i="544"/>
  <c r="D179" i="544"/>
  <c r="R178" i="544"/>
  <c r="Q178" i="544"/>
  <c r="P178" i="544"/>
  <c r="O178" i="544"/>
  <c r="N178" i="544"/>
  <c r="M178" i="544"/>
  <c r="L178" i="544"/>
  <c r="K178" i="544"/>
  <c r="J178" i="544"/>
  <c r="I178" i="544"/>
  <c r="H178" i="544"/>
  <c r="G178" i="544"/>
  <c r="D178" i="544"/>
  <c r="R177" i="544"/>
  <c r="Q177" i="544"/>
  <c r="P177" i="544"/>
  <c r="O177" i="544"/>
  <c r="N177" i="544"/>
  <c r="M177" i="544"/>
  <c r="L177" i="544"/>
  <c r="K177" i="544"/>
  <c r="J177" i="544"/>
  <c r="I177" i="544"/>
  <c r="H177" i="544"/>
  <c r="G177" i="544"/>
  <c r="D177" i="544"/>
  <c r="R176" i="544"/>
  <c r="Q176" i="544"/>
  <c r="P176" i="544"/>
  <c r="O176" i="544"/>
  <c r="N176" i="544"/>
  <c r="M176" i="544"/>
  <c r="L176" i="544"/>
  <c r="K176" i="544"/>
  <c r="J176" i="544"/>
  <c r="I176" i="544"/>
  <c r="H176" i="544"/>
  <c r="G176" i="544"/>
  <c r="D176" i="544"/>
  <c r="R175" i="544"/>
  <c r="Q175" i="544"/>
  <c r="P175" i="544"/>
  <c r="O175" i="544"/>
  <c r="N175" i="544"/>
  <c r="M175" i="544"/>
  <c r="L175" i="544"/>
  <c r="K175" i="544"/>
  <c r="J175" i="544"/>
  <c r="I175" i="544"/>
  <c r="H175" i="544"/>
  <c r="G175" i="544"/>
  <c r="D175" i="544"/>
  <c r="R174" i="544"/>
  <c r="Q174" i="544"/>
  <c r="P174" i="544"/>
  <c r="O174" i="544"/>
  <c r="N174" i="544"/>
  <c r="M174" i="544"/>
  <c r="L174" i="544"/>
  <c r="K174" i="544"/>
  <c r="J174" i="544"/>
  <c r="I174" i="544"/>
  <c r="H174" i="544"/>
  <c r="G174" i="544"/>
  <c r="D174" i="544"/>
  <c r="D173" i="544"/>
  <c r="G64" i="544"/>
  <c r="R172" i="544"/>
  <c r="Q172" i="544"/>
  <c r="P172" i="544"/>
  <c r="O172" i="544"/>
  <c r="N172" i="544"/>
  <c r="M172" i="544"/>
  <c r="L172" i="544"/>
  <c r="K172" i="544"/>
  <c r="J172" i="544"/>
  <c r="I172" i="544"/>
  <c r="H172" i="544"/>
  <c r="G172" i="544"/>
  <c r="R170" i="544"/>
  <c r="Q170" i="544"/>
  <c r="P170" i="544"/>
  <c r="O170" i="544"/>
  <c r="N170" i="544"/>
  <c r="M170" i="544"/>
  <c r="L170" i="544"/>
  <c r="K170" i="544"/>
  <c r="J170" i="544"/>
  <c r="I170" i="544"/>
  <c r="H170" i="544"/>
  <c r="G170" i="544"/>
  <c r="D170" i="544"/>
  <c r="R169" i="544"/>
  <c r="Q169" i="544"/>
  <c r="P169" i="544"/>
  <c r="O169" i="544"/>
  <c r="N169" i="544"/>
  <c r="M169" i="544"/>
  <c r="L169" i="544"/>
  <c r="K169" i="544"/>
  <c r="J169" i="544"/>
  <c r="I169" i="544"/>
  <c r="H169" i="544"/>
  <c r="G169" i="544"/>
  <c r="D169" i="544"/>
  <c r="R168" i="544"/>
  <c r="Q168" i="544"/>
  <c r="P168" i="544"/>
  <c r="O168" i="544"/>
  <c r="N168" i="544"/>
  <c r="M168" i="544"/>
  <c r="L168" i="544"/>
  <c r="K168" i="544"/>
  <c r="J168" i="544"/>
  <c r="I168" i="544"/>
  <c r="H168" i="544"/>
  <c r="G168" i="544"/>
  <c r="D168" i="544"/>
  <c r="D167" i="544"/>
  <c r="R166" i="544"/>
  <c r="Q166" i="544"/>
  <c r="P166" i="544"/>
  <c r="O166" i="544"/>
  <c r="N166" i="544"/>
  <c r="M166" i="544"/>
  <c r="L166" i="544"/>
  <c r="K166" i="544"/>
  <c r="J166" i="544"/>
  <c r="I166" i="544"/>
  <c r="H166" i="544"/>
  <c r="G166" i="544"/>
  <c r="D166" i="544"/>
  <c r="R165" i="544"/>
  <c r="Q165" i="544"/>
  <c r="P165" i="544"/>
  <c r="O165" i="544"/>
  <c r="N165" i="544"/>
  <c r="M165" i="544"/>
  <c r="L165" i="544"/>
  <c r="K165" i="544"/>
  <c r="J165" i="544"/>
  <c r="I165" i="544"/>
  <c r="H165" i="544"/>
  <c r="G165" i="544"/>
  <c r="D165" i="544"/>
  <c r="R164" i="544"/>
  <c r="Q164" i="544"/>
  <c r="P164" i="544"/>
  <c r="O164" i="544"/>
  <c r="N164" i="544"/>
  <c r="M164" i="544"/>
  <c r="L164" i="544"/>
  <c r="K164" i="544"/>
  <c r="J164" i="544"/>
  <c r="I164" i="544"/>
  <c r="H164" i="544"/>
  <c r="G164" i="544"/>
  <c r="D164" i="544"/>
  <c r="R163" i="544"/>
  <c r="Q163" i="544"/>
  <c r="P163" i="544"/>
  <c r="O163" i="544"/>
  <c r="N163" i="544"/>
  <c r="M163" i="544"/>
  <c r="L163" i="544"/>
  <c r="K163" i="544"/>
  <c r="J163" i="544"/>
  <c r="I163" i="544"/>
  <c r="H163" i="544"/>
  <c r="G163" i="544"/>
  <c r="D163" i="544"/>
  <c r="D162" i="544"/>
  <c r="R161" i="544"/>
  <c r="Q161" i="544"/>
  <c r="P161" i="544"/>
  <c r="O161" i="544"/>
  <c r="N161" i="544"/>
  <c r="M161" i="544"/>
  <c r="L161" i="544"/>
  <c r="K161" i="544"/>
  <c r="J161" i="544"/>
  <c r="I161" i="544"/>
  <c r="H161" i="544"/>
  <c r="G161" i="544"/>
  <c r="D161" i="544"/>
  <c r="R160" i="544"/>
  <c r="Q160" i="544"/>
  <c r="P160" i="544"/>
  <c r="O160" i="544"/>
  <c r="N160" i="544"/>
  <c r="M160" i="544"/>
  <c r="L160" i="544"/>
  <c r="K160" i="544"/>
  <c r="J160" i="544"/>
  <c r="I160" i="544"/>
  <c r="H160" i="544"/>
  <c r="G160" i="544"/>
  <c r="D160" i="544"/>
  <c r="R159" i="544"/>
  <c r="Q159" i="544"/>
  <c r="P159" i="544"/>
  <c r="O159" i="544"/>
  <c r="N159" i="544"/>
  <c r="M159" i="544"/>
  <c r="L159" i="544"/>
  <c r="K159" i="544"/>
  <c r="J159" i="544"/>
  <c r="I159" i="544"/>
  <c r="H159" i="544"/>
  <c r="G159" i="544"/>
  <c r="D159" i="544"/>
  <c r="R158" i="544"/>
  <c r="Q158" i="544"/>
  <c r="P158" i="544"/>
  <c r="O158" i="544"/>
  <c r="N158" i="544"/>
  <c r="M158" i="544"/>
  <c r="L158" i="544"/>
  <c r="K158" i="544"/>
  <c r="J158" i="544"/>
  <c r="I158" i="544"/>
  <c r="H158" i="544"/>
  <c r="G158" i="544"/>
  <c r="D158" i="544"/>
  <c r="R157" i="544"/>
  <c r="Q157" i="544"/>
  <c r="P157" i="544"/>
  <c r="O157" i="544"/>
  <c r="N157" i="544"/>
  <c r="M157" i="544"/>
  <c r="L157" i="544"/>
  <c r="K157" i="544"/>
  <c r="J157" i="544"/>
  <c r="I157" i="544"/>
  <c r="H157" i="544"/>
  <c r="G157" i="544"/>
  <c r="D157" i="544"/>
  <c r="R156" i="544"/>
  <c r="Q156" i="544"/>
  <c r="P156" i="544"/>
  <c r="O156" i="544"/>
  <c r="N156" i="544"/>
  <c r="M156" i="544"/>
  <c r="L156" i="544"/>
  <c r="K156" i="544"/>
  <c r="J156" i="544"/>
  <c r="I156" i="544"/>
  <c r="H156" i="544"/>
  <c r="G156" i="544"/>
  <c r="D156" i="544"/>
  <c r="R155" i="544"/>
  <c r="Q155" i="544"/>
  <c r="P155" i="544"/>
  <c r="O155" i="544"/>
  <c r="N155" i="544"/>
  <c r="M155" i="544"/>
  <c r="L155" i="544"/>
  <c r="K155" i="544"/>
  <c r="J155" i="544"/>
  <c r="I155" i="544"/>
  <c r="H155" i="544"/>
  <c r="G155" i="544"/>
  <c r="D155" i="544"/>
  <c r="R154" i="544"/>
  <c r="Q154" i="544"/>
  <c r="P154" i="544"/>
  <c r="O154" i="544"/>
  <c r="N154" i="544"/>
  <c r="M154" i="544"/>
  <c r="L154" i="544"/>
  <c r="K154" i="544"/>
  <c r="J154" i="544"/>
  <c r="I154" i="544"/>
  <c r="H154" i="544"/>
  <c r="G154" i="544"/>
  <c r="D154" i="544"/>
  <c r="R153" i="544"/>
  <c r="Q153" i="544"/>
  <c r="P153" i="544"/>
  <c r="O153" i="544"/>
  <c r="N153" i="544"/>
  <c r="M153" i="544"/>
  <c r="L153" i="544"/>
  <c r="K153" i="544"/>
  <c r="J153" i="544"/>
  <c r="I153" i="544"/>
  <c r="H153" i="544"/>
  <c r="G153" i="544"/>
  <c r="D153" i="544"/>
  <c r="R152" i="544"/>
  <c r="Q152" i="544"/>
  <c r="P152" i="544"/>
  <c r="O152" i="544"/>
  <c r="N152" i="544"/>
  <c r="M152" i="544"/>
  <c r="L152" i="544"/>
  <c r="K152" i="544"/>
  <c r="J152" i="544"/>
  <c r="I152" i="544"/>
  <c r="H152" i="544"/>
  <c r="G152" i="544"/>
  <c r="D152" i="544"/>
  <c r="R151" i="544"/>
  <c r="Q151" i="544"/>
  <c r="P151" i="544"/>
  <c r="O151" i="544"/>
  <c r="N151" i="544"/>
  <c r="M151" i="544"/>
  <c r="L151" i="544"/>
  <c r="K151" i="544"/>
  <c r="J151" i="544"/>
  <c r="I151" i="544"/>
  <c r="H151" i="544"/>
  <c r="G151" i="544"/>
  <c r="D151" i="544"/>
  <c r="G150" i="544"/>
  <c r="D150" i="544"/>
  <c r="G149" i="544"/>
  <c r="D149" i="544"/>
  <c r="G148" i="544"/>
  <c r="D148" i="544"/>
  <c r="N143" i="544"/>
  <c r="M143" i="544"/>
  <c r="L143" i="544"/>
  <c r="K143" i="544"/>
  <c r="J143" i="544"/>
  <c r="I143" i="544"/>
  <c r="H143" i="544"/>
  <c r="G143" i="544"/>
  <c r="G147" i="544"/>
  <c r="D147" i="544"/>
  <c r="G146" i="544"/>
  <c r="D146" i="544"/>
  <c r="R145" i="544"/>
  <c r="Q145" i="544"/>
  <c r="P145" i="544"/>
  <c r="O145" i="544"/>
  <c r="N145" i="544"/>
  <c r="M145" i="544"/>
  <c r="L145" i="544"/>
  <c r="K145" i="544"/>
  <c r="J145" i="544"/>
  <c r="I145" i="544"/>
  <c r="H145" i="544"/>
  <c r="G145" i="544"/>
  <c r="D145" i="544"/>
  <c r="R143" i="544"/>
  <c r="Q143" i="544"/>
  <c r="P143" i="544"/>
  <c r="O143" i="544"/>
  <c r="R142" i="544"/>
  <c r="Q142" i="544"/>
  <c r="P142" i="544"/>
  <c r="O142" i="544"/>
  <c r="N142" i="544"/>
  <c r="M142" i="544"/>
  <c r="L142" i="544"/>
  <c r="K142" i="544"/>
  <c r="J142" i="544"/>
  <c r="I142" i="544"/>
  <c r="H142" i="544"/>
  <c r="G142" i="544"/>
  <c r="R109" i="544"/>
  <c r="R141" i="544"/>
  <c r="Q109" i="544"/>
  <c r="Q141" i="544"/>
  <c r="P109" i="544"/>
  <c r="P141" i="544"/>
  <c r="O109" i="544"/>
  <c r="O141" i="544"/>
  <c r="N109" i="544"/>
  <c r="N141" i="544"/>
  <c r="M109" i="544"/>
  <c r="M141" i="544"/>
  <c r="L109" i="544"/>
  <c r="L141" i="544"/>
  <c r="K109" i="544"/>
  <c r="K141" i="544"/>
  <c r="J109" i="544"/>
  <c r="J141" i="544"/>
  <c r="I109" i="544"/>
  <c r="I141" i="544"/>
  <c r="H109" i="544"/>
  <c r="H141" i="544"/>
  <c r="G109" i="544"/>
  <c r="G141" i="544"/>
  <c r="R139" i="544"/>
  <c r="Q139" i="544"/>
  <c r="P139" i="544"/>
  <c r="O139" i="544"/>
  <c r="N139" i="544"/>
  <c r="M139" i="544"/>
  <c r="L139" i="544"/>
  <c r="K139" i="544"/>
  <c r="J139" i="544"/>
  <c r="I139" i="544"/>
  <c r="H139" i="544"/>
  <c r="G139" i="544"/>
  <c r="G121" i="544"/>
  <c r="G122" i="544"/>
  <c r="G123" i="544"/>
  <c r="I123" i="544"/>
  <c r="I124" i="544"/>
  <c r="H123" i="544"/>
  <c r="H124" i="544"/>
  <c r="G124" i="544"/>
  <c r="I122" i="544"/>
  <c r="B106" i="544"/>
  <c r="B107" i="544"/>
  <c r="B108" i="544"/>
  <c r="B109" i="544"/>
  <c r="B110" i="544"/>
  <c r="B111" i="544"/>
  <c r="B112" i="544"/>
  <c r="B113" i="544"/>
  <c r="S107" i="544"/>
  <c r="S106" i="544"/>
  <c r="G65" i="544"/>
  <c r="G66" i="544"/>
  <c r="G67" i="544"/>
  <c r="G73" i="544"/>
  <c r="G92" i="544"/>
  <c r="G93" i="544"/>
  <c r="G94" i="544"/>
  <c r="G95" i="544"/>
  <c r="G104" i="544"/>
  <c r="G105" i="544"/>
  <c r="H65" i="544"/>
  <c r="H66" i="544"/>
  <c r="H67" i="544"/>
  <c r="H73" i="544"/>
  <c r="H92" i="544"/>
  <c r="H93" i="544"/>
  <c r="H27" i="544"/>
  <c r="H94" i="544"/>
  <c r="H95" i="544"/>
  <c r="H104" i="544"/>
  <c r="H105" i="544"/>
  <c r="I65" i="544"/>
  <c r="I66" i="544"/>
  <c r="I67" i="544"/>
  <c r="I73" i="544"/>
  <c r="I92" i="544"/>
  <c r="I93" i="544"/>
  <c r="I27" i="544"/>
  <c r="I94" i="544"/>
  <c r="I95" i="544"/>
  <c r="I104" i="544"/>
  <c r="I105" i="544"/>
  <c r="J65" i="544"/>
  <c r="J66" i="544"/>
  <c r="J67" i="544"/>
  <c r="J73" i="544"/>
  <c r="J92" i="544"/>
  <c r="J93" i="544"/>
  <c r="J27" i="544"/>
  <c r="J94" i="544"/>
  <c r="J95" i="544"/>
  <c r="J104" i="544"/>
  <c r="J105" i="544"/>
  <c r="K65" i="544"/>
  <c r="K66" i="544"/>
  <c r="K67" i="544"/>
  <c r="K73" i="544"/>
  <c r="K92" i="544"/>
  <c r="K93" i="544"/>
  <c r="K27" i="544"/>
  <c r="K94" i="544"/>
  <c r="K95" i="544"/>
  <c r="K104" i="544"/>
  <c r="K105" i="544"/>
  <c r="L65" i="544"/>
  <c r="L66" i="544"/>
  <c r="L67" i="544"/>
  <c r="L73" i="544"/>
  <c r="L92" i="544"/>
  <c r="L93" i="544"/>
  <c r="L27" i="544"/>
  <c r="L94" i="544"/>
  <c r="L95" i="544"/>
  <c r="L104" i="544"/>
  <c r="L105" i="544"/>
  <c r="M65" i="544"/>
  <c r="M66" i="544"/>
  <c r="M67" i="544"/>
  <c r="M73" i="544"/>
  <c r="M92" i="544"/>
  <c r="M93" i="544"/>
  <c r="M27" i="544"/>
  <c r="M94" i="544"/>
  <c r="M95" i="544"/>
  <c r="M104" i="544"/>
  <c r="M105" i="544"/>
  <c r="N65" i="544"/>
  <c r="N66" i="544"/>
  <c r="N67" i="544"/>
  <c r="N73" i="544"/>
  <c r="N92" i="544"/>
  <c r="N93" i="544"/>
  <c r="N27" i="544"/>
  <c r="N94" i="544"/>
  <c r="N95" i="544"/>
  <c r="N104" i="544"/>
  <c r="N105" i="544"/>
  <c r="O65" i="544"/>
  <c r="O66" i="544"/>
  <c r="O67" i="544"/>
  <c r="O73" i="544"/>
  <c r="O92" i="544"/>
  <c r="O93" i="544"/>
  <c r="O27" i="544"/>
  <c r="O94" i="544"/>
  <c r="O95" i="544"/>
  <c r="O104" i="544"/>
  <c r="O105" i="544"/>
  <c r="P65" i="544"/>
  <c r="P66" i="544"/>
  <c r="P67" i="544"/>
  <c r="P73" i="544"/>
  <c r="P92" i="544"/>
  <c r="P93" i="544"/>
  <c r="P27" i="544"/>
  <c r="P94" i="544"/>
  <c r="P95" i="544"/>
  <c r="P104" i="544"/>
  <c r="P105" i="544"/>
  <c r="Q65" i="544"/>
  <c r="Q66" i="544"/>
  <c r="Q67" i="544"/>
  <c r="Q73" i="544"/>
  <c r="Q92" i="544"/>
  <c r="Q93" i="544"/>
  <c r="Q27" i="544"/>
  <c r="Q94" i="544"/>
  <c r="Q95" i="544"/>
  <c r="Q104" i="544"/>
  <c r="Q105" i="544"/>
  <c r="R65" i="544"/>
  <c r="R66" i="544"/>
  <c r="R67" i="544"/>
  <c r="R73" i="544"/>
  <c r="R92" i="544"/>
  <c r="R93" i="544"/>
  <c r="R27" i="544"/>
  <c r="R94" i="544"/>
  <c r="R95" i="544"/>
  <c r="R104" i="544"/>
  <c r="R105" i="544"/>
  <c r="S105" i="544"/>
  <c r="S104" i="544"/>
  <c r="G103" i="544"/>
  <c r="H103" i="544"/>
  <c r="I103" i="544"/>
  <c r="J103" i="544"/>
  <c r="K103" i="544"/>
  <c r="L103" i="544"/>
  <c r="M103" i="544"/>
  <c r="N103" i="544"/>
  <c r="O103" i="544"/>
  <c r="P103" i="544"/>
  <c r="Q103" i="544"/>
  <c r="R103" i="544"/>
  <c r="S103" i="544"/>
  <c r="S102" i="544"/>
  <c r="G98" i="544"/>
  <c r="G99" i="544"/>
  <c r="G101" i="544"/>
  <c r="H98" i="544"/>
  <c r="H99" i="544"/>
  <c r="H101" i="544"/>
  <c r="I98" i="544"/>
  <c r="I99" i="544"/>
  <c r="I101" i="544"/>
  <c r="J98" i="544"/>
  <c r="J99" i="544"/>
  <c r="J101" i="544"/>
  <c r="K98" i="544"/>
  <c r="K99" i="544"/>
  <c r="K101" i="544"/>
  <c r="L98" i="544"/>
  <c r="L99" i="544"/>
  <c r="L101" i="544"/>
  <c r="M98" i="544"/>
  <c r="M99" i="544"/>
  <c r="M101" i="544"/>
  <c r="N98" i="544"/>
  <c r="N99" i="544"/>
  <c r="N101" i="544"/>
  <c r="O98" i="544"/>
  <c r="O99" i="544"/>
  <c r="O101" i="544"/>
  <c r="P98" i="544"/>
  <c r="P99" i="544"/>
  <c r="P101" i="544"/>
  <c r="Q98" i="544"/>
  <c r="Q99" i="544"/>
  <c r="Q101" i="544"/>
  <c r="R98" i="544"/>
  <c r="R99" i="544"/>
  <c r="R101" i="544"/>
  <c r="S101" i="544"/>
  <c r="G100" i="544"/>
  <c r="H100" i="544"/>
  <c r="I100" i="544"/>
  <c r="J100" i="544"/>
  <c r="K100" i="544"/>
  <c r="L100" i="544"/>
  <c r="M100" i="544"/>
  <c r="N100" i="544"/>
  <c r="O100" i="544"/>
  <c r="P100" i="544"/>
  <c r="Q100" i="544"/>
  <c r="R100" i="544"/>
  <c r="S100" i="544"/>
  <c r="S99" i="544"/>
  <c r="S98" i="544"/>
  <c r="S97" i="544"/>
  <c r="S95" i="544"/>
  <c r="S93" i="544"/>
  <c r="S92" i="544"/>
  <c r="S91" i="544"/>
  <c r="S90" i="544"/>
  <c r="S89" i="544"/>
  <c r="S88" i="544"/>
  <c r="S87" i="544"/>
  <c r="S86" i="544"/>
  <c r="S85" i="544"/>
  <c r="S84" i="544"/>
  <c r="S83" i="544"/>
  <c r="S82" i="544"/>
  <c r="D82" i="544"/>
  <c r="S81" i="544"/>
  <c r="D81" i="544"/>
  <c r="S80" i="544"/>
  <c r="D80" i="544"/>
  <c r="S79" i="544"/>
  <c r="D79" i="544"/>
  <c r="S78" i="544"/>
  <c r="D78" i="544"/>
  <c r="S77" i="544"/>
  <c r="D77" i="544"/>
  <c r="S76" i="544"/>
  <c r="S75" i="544"/>
  <c r="S74" i="544"/>
  <c r="S73" i="544"/>
  <c r="S72" i="544"/>
  <c r="S70" i="544"/>
  <c r="S69" i="544"/>
  <c r="S68" i="544"/>
  <c r="S67" i="544"/>
  <c r="S66" i="544"/>
  <c r="S65" i="544"/>
  <c r="S64" i="544"/>
  <c r="S63" i="544"/>
  <c r="S62" i="544"/>
  <c r="S61" i="544"/>
  <c r="S60" i="544"/>
  <c r="S59" i="544"/>
  <c r="S58" i="544"/>
  <c r="S57" i="544"/>
  <c r="S56" i="544"/>
  <c r="S55" i="544"/>
  <c r="S54" i="544"/>
  <c r="E54" i="544"/>
  <c r="C54" i="544"/>
  <c r="S53" i="544"/>
  <c r="E53" i="544"/>
  <c r="C53" i="544"/>
  <c r="S52" i="544"/>
  <c r="E52" i="544"/>
  <c r="C52" i="544"/>
  <c r="S51" i="544"/>
  <c r="E51" i="544"/>
  <c r="C51" i="544"/>
  <c r="S50" i="544"/>
  <c r="E50" i="544"/>
  <c r="C50" i="544"/>
  <c r="S49" i="544"/>
  <c r="E49" i="544"/>
  <c r="C49" i="544"/>
  <c r="S48" i="544"/>
  <c r="S47" i="544"/>
  <c r="S46" i="544"/>
  <c r="S45" i="544"/>
  <c r="R2" i="544"/>
  <c r="R44" i="544"/>
  <c r="Q2" i="544"/>
  <c r="Q44" i="544"/>
  <c r="P2" i="544"/>
  <c r="P44" i="544"/>
  <c r="O2" i="544"/>
  <c r="O44" i="544"/>
  <c r="N2" i="544"/>
  <c r="N44" i="544"/>
  <c r="M2" i="544"/>
  <c r="M44" i="544"/>
  <c r="L2" i="544"/>
  <c r="L44" i="544"/>
  <c r="K2" i="544"/>
  <c r="K44" i="544"/>
  <c r="J2" i="544"/>
  <c r="J44" i="544"/>
  <c r="I2" i="544"/>
  <c r="I44" i="544"/>
  <c r="H2" i="544"/>
  <c r="H44" i="544"/>
  <c r="G2" i="544"/>
  <c r="G44" i="544"/>
  <c r="A44" i="544"/>
  <c r="R7" i="544"/>
  <c r="Q7" i="544"/>
  <c r="P7" i="544"/>
  <c r="O7" i="544"/>
  <c r="N7" i="544"/>
  <c r="M7" i="544"/>
  <c r="L7" i="544"/>
  <c r="K7" i="544"/>
  <c r="J7" i="544"/>
  <c r="I7" i="544"/>
  <c r="H7" i="544"/>
  <c r="H1" i="544"/>
  <c r="I1" i="544"/>
  <c r="J1" i="544"/>
  <c r="K1" i="544"/>
  <c r="L1" i="544"/>
  <c r="M1" i="544"/>
  <c r="N1" i="544"/>
  <c r="O1" i="544"/>
  <c r="P1" i="544"/>
  <c r="Q1" i="544"/>
  <c r="R1" i="544"/>
  <c r="B74" i="543"/>
  <c r="B75" i="543"/>
  <c r="B76" i="543"/>
  <c r="B77" i="543"/>
  <c r="B78" i="543"/>
  <c r="B79" i="543"/>
  <c r="B80" i="543"/>
  <c r="B81" i="543"/>
  <c r="B82" i="543"/>
  <c r="B83" i="543"/>
  <c r="B84" i="543"/>
  <c r="B85" i="543"/>
  <c r="B86" i="543"/>
  <c r="B87" i="543"/>
  <c r="B88" i="543"/>
  <c r="B89" i="543"/>
  <c r="B90" i="543"/>
  <c r="B91" i="543"/>
  <c r="B92" i="543"/>
  <c r="B93" i="543"/>
  <c r="B94" i="543"/>
  <c r="B95" i="543"/>
  <c r="B96" i="543"/>
  <c r="B97" i="543"/>
  <c r="B98" i="543"/>
  <c r="B99" i="543"/>
  <c r="B100" i="543"/>
  <c r="B101" i="543"/>
  <c r="B102" i="543"/>
  <c r="B103" i="543"/>
  <c r="B104" i="543"/>
  <c r="B105" i="543"/>
  <c r="D205" i="543"/>
  <c r="B173" i="543"/>
  <c r="B174" i="543"/>
  <c r="B175" i="543"/>
  <c r="B176" i="543"/>
  <c r="B177" i="543"/>
  <c r="B178" i="543"/>
  <c r="B179" i="543"/>
  <c r="B180" i="543"/>
  <c r="B181" i="543"/>
  <c r="B182" i="543"/>
  <c r="B183" i="543"/>
  <c r="B184" i="543"/>
  <c r="B185" i="543"/>
  <c r="B186" i="543"/>
  <c r="B187" i="543"/>
  <c r="B188" i="543"/>
  <c r="B189" i="543"/>
  <c r="B190" i="543"/>
  <c r="B191" i="543"/>
  <c r="B192" i="543"/>
  <c r="B193" i="543"/>
  <c r="B194" i="543"/>
  <c r="B195" i="543"/>
  <c r="B196" i="543"/>
  <c r="B197" i="543"/>
  <c r="B198" i="543"/>
  <c r="B199" i="543"/>
  <c r="B200" i="543"/>
  <c r="B201" i="543"/>
  <c r="B202" i="543"/>
  <c r="B203" i="543"/>
  <c r="B204" i="543"/>
  <c r="B205" i="543"/>
  <c r="D204" i="543"/>
  <c r="R203" i="543"/>
  <c r="Q203" i="543"/>
  <c r="P203" i="543"/>
  <c r="O203" i="543"/>
  <c r="N203" i="543"/>
  <c r="M203" i="543"/>
  <c r="L203" i="543"/>
  <c r="K203" i="543"/>
  <c r="J203" i="543"/>
  <c r="I203" i="543"/>
  <c r="H203" i="543"/>
  <c r="G203" i="543"/>
  <c r="D203" i="543"/>
  <c r="R202" i="543"/>
  <c r="Q202" i="543"/>
  <c r="P202" i="543"/>
  <c r="O202" i="543"/>
  <c r="N202" i="543"/>
  <c r="M202" i="543"/>
  <c r="L202" i="543"/>
  <c r="K202" i="543"/>
  <c r="J202" i="543"/>
  <c r="I202" i="543"/>
  <c r="H202" i="543"/>
  <c r="G202" i="543"/>
  <c r="D202" i="543"/>
  <c r="D201" i="543"/>
  <c r="D200" i="543"/>
  <c r="D199" i="543"/>
  <c r="D198" i="543"/>
  <c r="D197" i="543"/>
  <c r="D196" i="543"/>
  <c r="H26" i="543"/>
  <c r="I26" i="543"/>
  <c r="J26" i="543"/>
  <c r="K26" i="543"/>
  <c r="L26" i="543"/>
  <c r="M26" i="543"/>
  <c r="N26" i="543"/>
  <c r="O26" i="543"/>
  <c r="P26" i="543"/>
  <c r="Q26" i="543"/>
  <c r="R26" i="543"/>
  <c r="D195" i="543"/>
  <c r="D194" i="543"/>
  <c r="D193" i="543"/>
  <c r="R64" i="543"/>
  <c r="R102" i="543"/>
  <c r="R90" i="543"/>
  <c r="R91" i="543"/>
  <c r="Q64" i="543"/>
  <c r="Q102" i="543"/>
  <c r="Q90" i="543"/>
  <c r="Q91" i="543"/>
  <c r="P64" i="543"/>
  <c r="P102" i="543"/>
  <c r="P90" i="543"/>
  <c r="P91" i="543"/>
  <c r="O64" i="543"/>
  <c r="O102" i="543"/>
  <c r="O90" i="543"/>
  <c r="O91" i="543"/>
  <c r="N64" i="543"/>
  <c r="N102" i="543"/>
  <c r="N90" i="543"/>
  <c r="N91" i="543"/>
  <c r="M64" i="543"/>
  <c r="M102" i="543"/>
  <c r="M90" i="543"/>
  <c r="M91" i="543"/>
  <c r="L64" i="543"/>
  <c r="L102" i="543"/>
  <c r="L90" i="543"/>
  <c r="L91" i="543"/>
  <c r="K64" i="543"/>
  <c r="K102" i="543"/>
  <c r="K90" i="543"/>
  <c r="K91" i="543"/>
  <c r="J64" i="543"/>
  <c r="J102" i="543"/>
  <c r="J90" i="543"/>
  <c r="J91" i="543"/>
  <c r="I64" i="543"/>
  <c r="I102" i="543"/>
  <c r="I90" i="543"/>
  <c r="I91" i="543"/>
  <c r="H64" i="543"/>
  <c r="H102" i="543"/>
  <c r="H90" i="543"/>
  <c r="H91" i="543"/>
  <c r="G102" i="543"/>
  <c r="G90" i="543"/>
  <c r="G91" i="543"/>
  <c r="D192" i="543"/>
  <c r="D191" i="543"/>
  <c r="D190" i="543"/>
  <c r="D189" i="543"/>
  <c r="R188" i="543"/>
  <c r="Q188" i="543"/>
  <c r="P188" i="543"/>
  <c r="O188" i="543"/>
  <c r="N188" i="543"/>
  <c r="M188" i="543"/>
  <c r="L188" i="543"/>
  <c r="K188" i="543"/>
  <c r="J188" i="543"/>
  <c r="I188" i="543"/>
  <c r="H188" i="543"/>
  <c r="G188" i="543"/>
  <c r="D188" i="543"/>
  <c r="R187" i="543"/>
  <c r="Q187" i="543"/>
  <c r="P187" i="543"/>
  <c r="O187" i="543"/>
  <c r="N187" i="543"/>
  <c r="M187" i="543"/>
  <c r="L187" i="543"/>
  <c r="K187" i="543"/>
  <c r="J187" i="543"/>
  <c r="I187" i="543"/>
  <c r="H187" i="543"/>
  <c r="G187" i="543"/>
  <c r="D187" i="543"/>
  <c r="D186" i="543"/>
  <c r="R185" i="543"/>
  <c r="Q185" i="543"/>
  <c r="P185" i="543"/>
  <c r="O185" i="543"/>
  <c r="N185" i="543"/>
  <c r="M185" i="543"/>
  <c r="L185" i="543"/>
  <c r="K185" i="543"/>
  <c r="J185" i="543"/>
  <c r="I185" i="543"/>
  <c r="H185" i="543"/>
  <c r="G185" i="543"/>
  <c r="D185" i="543"/>
  <c r="R184" i="543"/>
  <c r="Q184" i="543"/>
  <c r="P184" i="543"/>
  <c r="O184" i="543"/>
  <c r="N184" i="543"/>
  <c r="M184" i="543"/>
  <c r="L184" i="543"/>
  <c r="K184" i="543"/>
  <c r="J184" i="543"/>
  <c r="I184" i="543"/>
  <c r="H184" i="543"/>
  <c r="G184" i="543"/>
  <c r="D184" i="543"/>
  <c r="R183" i="543"/>
  <c r="Q183" i="543"/>
  <c r="P183" i="543"/>
  <c r="O183" i="543"/>
  <c r="N183" i="543"/>
  <c r="M183" i="543"/>
  <c r="L183" i="543"/>
  <c r="K183" i="543"/>
  <c r="J183" i="543"/>
  <c r="I183" i="543"/>
  <c r="H183" i="543"/>
  <c r="G183" i="543"/>
  <c r="D183" i="543"/>
  <c r="R182" i="543"/>
  <c r="Q182" i="543"/>
  <c r="P182" i="543"/>
  <c r="O182" i="543"/>
  <c r="N182" i="543"/>
  <c r="M182" i="543"/>
  <c r="L182" i="543"/>
  <c r="K182" i="543"/>
  <c r="J182" i="543"/>
  <c r="I182" i="543"/>
  <c r="H182" i="543"/>
  <c r="G182" i="543"/>
  <c r="D182" i="543"/>
  <c r="R181" i="543"/>
  <c r="Q181" i="543"/>
  <c r="P181" i="543"/>
  <c r="O181" i="543"/>
  <c r="N181" i="543"/>
  <c r="M181" i="543"/>
  <c r="L181" i="543"/>
  <c r="K181" i="543"/>
  <c r="J181" i="543"/>
  <c r="I181" i="543"/>
  <c r="H181" i="543"/>
  <c r="G181" i="543"/>
  <c r="D181" i="543"/>
  <c r="R180" i="543"/>
  <c r="Q180" i="543"/>
  <c r="P180" i="543"/>
  <c r="O180" i="543"/>
  <c r="N180" i="543"/>
  <c r="M180" i="543"/>
  <c r="L180" i="543"/>
  <c r="K180" i="543"/>
  <c r="J180" i="543"/>
  <c r="I180" i="543"/>
  <c r="H180" i="543"/>
  <c r="G180" i="543"/>
  <c r="D180" i="543"/>
  <c r="R179" i="543"/>
  <c r="Q179" i="543"/>
  <c r="P179" i="543"/>
  <c r="O179" i="543"/>
  <c r="N179" i="543"/>
  <c r="M179" i="543"/>
  <c r="L179" i="543"/>
  <c r="K179" i="543"/>
  <c r="J179" i="543"/>
  <c r="I179" i="543"/>
  <c r="H179" i="543"/>
  <c r="G179" i="543"/>
  <c r="D179" i="543"/>
  <c r="R178" i="543"/>
  <c r="Q178" i="543"/>
  <c r="P178" i="543"/>
  <c r="O178" i="543"/>
  <c r="N178" i="543"/>
  <c r="M178" i="543"/>
  <c r="L178" i="543"/>
  <c r="K178" i="543"/>
  <c r="J178" i="543"/>
  <c r="I178" i="543"/>
  <c r="H178" i="543"/>
  <c r="G178" i="543"/>
  <c r="D178" i="543"/>
  <c r="R177" i="543"/>
  <c r="Q177" i="543"/>
  <c r="P177" i="543"/>
  <c r="O177" i="543"/>
  <c r="N177" i="543"/>
  <c r="M177" i="543"/>
  <c r="L177" i="543"/>
  <c r="K177" i="543"/>
  <c r="J177" i="543"/>
  <c r="I177" i="543"/>
  <c r="H177" i="543"/>
  <c r="G177" i="543"/>
  <c r="D177" i="543"/>
  <c r="R176" i="543"/>
  <c r="Q176" i="543"/>
  <c r="P176" i="543"/>
  <c r="O176" i="543"/>
  <c r="N176" i="543"/>
  <c r="M176" i="543"/>
  <c r="L176" i="543"/>
  <c r="K176" i="543"/>
  <c r="J176" i="543"/>
  <c r="I176" i="543"/>
  <c r="H176" i="543"/>
  <c r="G176" i="543"/>
  <c r="D176" i="543"/>
  <c r="R175" i="543"/>
  <c r="Q175" i="543"/>
  <c r="P175" i="543"/>
  <c r="O175" i="543"/>
  <c r="N175" i="543"/>
  <c r="M175" i="543"/>
  <c r="L175" i="543"/>
  <c r="K175" i="543"/>
  <c r="J175" i="543"/>
  <c r="I175" i="543"/>
  <c r="H175" i="543"/>
  <c r="G175" i="543"/>
  <c r="D175" i="543"/>
  <c r="R174" i="543"/>
  <c r="Q174" i="543"/>
  <c r="P174" i="543"/>
  <c r="O174" i="543"/>
  <c r="N174" i="543"/>
  <c r="M174" i="543"/>
  <c r="L174" i="543"/>
  <c r="K174" i="543"/>
  <c r="J174" i="543"/>
  <c r="I174" i="543"/>
  <c r="H174" i="543"/>
  <c r="G174" i="543"/>
  <c r="D174" i="543"/>
  <c r="D173" i="543"/>
  <c r="G64" i="543"/>
  <c r="R172" i="543"/>
  <c r="Q172" i="543"/>
  <c r="P172" i="543"/>
  <c r="O172" i="543"/>
  <c r="N172" i="543"/>
  <c r="M172" i="543"/>
  <c r="L172" i="543"/>
  <c r="K172" i="543"/>
  <c r="J172" i="543"/>
  <c r="I172" i="543"/>
  <c r="H172" i="543"/>
  <c r="G172" i="543"/>
  <c r="R170" i="543"/>
  <c r="Q170" i="543"/>
  <c r="P170" i="543"/>
  <c r="O170" i="543"/>
  <c r="N170" i="543"/>
  <c r="M170" i="543"/>
  <c r="L170" i="543"/>
  <c r="K170" i="543"/>
  <c r="J170" i="543"/>
  <c r="I170" i="543"/>
  <c r="H170" i="543"/>
  <c r="G170" i="543"/>
  <c r="D170" i="543"/>
  <c r="R169" i="543"/>
  <c r="Q169" i="543"/>
  <c r="P169" i="543"/>
  <c r="O169" i="543"/>
  <c r="N169" i="543"/>
  <c r="M169" i="543"/>
  <c r="L169" i="543"/>
  <c r="K169" i="543"/>
  <c r="J169" i="543"/>
  <c r="I169" i="543"/>
  <c r="H169" i="543"/>
  <c r="G169" i="543"/>
  <c r="D169" i="543"/>
  <c r="R168" i="543"/>
  <c r="Q168" i="543"/>
  <c r="P168" i="543"/>
  <c r="O168" i="543"/>
  <c r="N168" i="543"/>
  <c r="M168" i="543"/>
  <c r="L168" i="543"/>
  <c r="K168" i="543"/>
  <c r="J168" i="543"/>
  <c r="I168" i="543"/>
  <c r="H168" i="543"/>
  <c r="G168" i="543"/>
  <c r="D168" i="543"/>
  <c r="D167" i="543"/>
  <c r="R166" i="543"/>
  <c r="Q166" i="543"/>
  <c r="P166" i="543"/>
  <c r="O166" i="543"/>
  <c r="N166" i="543"/>
  <c r="M166" i="543"/>
  <c r="L166" i="543"/>
  <c r="K166" i="543"/>
  <c r="J166" i="543"/>
  <c r="I166" i="543"/>
  <c r="H166" i="543"/>
  <c r="G166" i="543"/>
  <c r="D166" i="543"/>
  <c r="R165" i="543"/>
  <c r="Q165" i="543"/>
  <c r="P165" i="543"/>
  <c r="O165" i="543"/>
  <c r="N165" i="543"/>
  <c r="M165" i="543"/>
  <c r="L165" i="543"/>
  <c r="K165" i="543"/>
  <c r="J165" i="543"/>
  <c r="I165" i="543"/>
  <c r="H165" i="543"/>
  <c r="G165" i="543"/>
  <c r="D165" i="543"/>
  <c r="R164" i="543"/>
  <c r="Q164" i="543"/>
  <c r="P164" i="543"/>
  <c r="O164" i="543"/>
  <c r="N164" i="543"/>
  <c r="M164" i="543"/>
  <c r="L164" i="543"/>
  <c r="K164" i="543"/>
  <c r="J164" i="543"/>
  <c r="I164" i="543"/>
  <c r="H164" i="543"/>
  <c r="G164" i="543"/>
  <c r="D164" i="543"/>
  <c r="R163" i="543"/>
  <c r="Q163" i="543"/>
  <c r="P163" i="543"/>
  <c r="O163" i="543"/>
  <c r="N163" i="543"/>
  <c r="M163" i="543"/>
  <c r="L163" i="543"/>
  <c r="K163" i="543"/>
  <c r="J163" i="543"/>
  <c r="I163" i="543"/>
  <c r="H163" i="543"/>
  <c r="G163" i="543"/>
  <c r="D163" i="543"/>
  <c r="D162" i="543"/>
  <c r="R161" i="543"/>
  <c r="Q161" i="543"/>
  <c r="P161" i="543"/>
  <c r="O161" i="543"/>
  <c r="N161" i="543"/>
  <c r="M161" i="543"/>
  <c r="L161" i="543"/>
  <c r="K161" i="543"/>
  <c r="J161" i="543"/>
  <c r="I161" i="543"/>
  <c r="H161" i="543"/>
  <c r="G161" i="543"/>
  <c r="D161" i="543"/>
  <c r="R160" i="543"/>
  <c r="Q160" i="543"/>
  <c r="P160" i="543"/>
  <c r="O160" i="543"/>
  <c r="N160" i="543"/>
  <c r="M160" i="543"/>
  <c r="L160" i="543"/>
  <c r="K160" i="543"/>
  <c r="J160" i="543"/>
  <c r="I160" i="543"/>
  <c r="H160" i="543"/>
  <c r="G160" i="543"/>
  <c r="D160" i="543"/>
  <c r="R159" i="543"/>
  <c r="Q159" i="543"/>
  <c r="P159" i="543"/>
  <c r="O159" i="543"/>
  <c r="N159" i="543"/>
  <c r="M159" i="543"/>
  <c r="L159" i="543"/>
  <c r="K159" i="543"/>
  <c r="J159" i="543"/>
  <c r="I159" i="543"/>
  <c r="H159" i="543"/>
  <c r="G159" i="543"/>
  <c r="D159" i="543"/>
  <c r="R158" i="543"/>
  <c r="Q158" i="543"/>
  <c r="P158" i="543"/>
  <c r="O158" i="543"/>
  <c r="N158" i="543"/>
  <c r="M158" i="543"/>
  <c r="L158" i="543"/>
  <c r="K158" i="543"/>
  <c r="J158" i="543"/>
  <c r="I158" i="543"/>
  <c r="H158" i="543"/>
  <c r="G158" i="543"/>
  <c r="D158" i="543"/>
  <c r="R157" i="543"/>
  <c r="Q157" i="543"/>
  <c r="P157" i="543"/>
  <c r="O157" i="543"/>
  <c r="N157" i="543"/>
  <c r="M157" i="543"/>
  <c r="L157" i="543"/>
  <c r="K157" i="543"/>
  <c r="J157" i="543"/>
  <c r="I157" i="543"/>
  <c r="H157" i="543"/>
  <c r="G157" i="543"/>
  <c r="D157" i="543"/>
  <c r="R156" i="543"/>
  <c r="Q156" i="543"/>
  <c r="P156" i="543"/>
  <c r="O156" i="543"/>
  <c r="N156" i="543"/>
  <c r="M156" i="543"/>
  <c r="L156" i="543"/>
  <c r="K156" i="543"/>
  <c r="J156" i="543"/>
  <c r="I156" i="543"/>
  <c r="H156" i="543"/>
  <c r="G156" i="543"/>
  <c r="D156" i="543"/>
  <c r="R155" i="543"/>
  <c r="Q155" i="543"/>
  <c r="P155" i="543"/>
  <c r="O155" i="543"/>
  <c r="N155" i="543"/>
  <c r="M155" i="543"/>
  <c r="L155" i="543"/>
  <c r="K155" i="543"/>
  <c r="J155" i="543"/>
  <c r="I155" i="543"/>
  <c r="H155" i="543"/>
  <c r="G155" i="543"/>
  <c r="D155" i="543"/>
  <c r="R154" i="543"/>
  <c r="Q154" i="543"/>
  <c r="P154" i="543"/>
  <c r="O154" i="543"/>
  <c r="N154" i="543"/>
  <c r="M154" i="543"/>
  <c r="L154" i="543"/>
  <c r="K154" i="543"/>
  <c r="J154" i="543"/>
  <c r="I154" i="543"/>
  <c r="H154" i="543"/>
  <c r="G154" i="543"/>
  <c r="D154" i="543"/>
  <c r="R153" i="543"/>
  <c r="Q153" i="543"/>
  <c r="P153" i="543"/>
  <c r="O153" i="543"/>
  <c r="N153" i="543"/>
  <c r="M153" i="543"/>
  <c r="L153" i="543"/>
  <c r="K153" i="543"/>
  <c r="J153" i="543"/>
  <c r="I153" i="543"/>
  <c r="H153" i="543"/>
  <c r="G153" i="543"/>
  <c r="D153" i="543"/>
  <c r="R152" i="543"/>
  <c r="Q152" i="543"/>
  <c r="P152" i="543"/>
  <c r="O152" i="543"/>
  <c r="N152" i="543"/>
  <c r="M152" i="543"/>
  <c r="L152" i="543"/>
  <c r="K152" i="543"/>
  <c r="J152" i="543"/>
  <c r="I152" i="543"/>
  <c r="H152" i="543"/>
  <c r="G152" i="543"/>
  <c r="D152" i="543"/>
  <c r="R151" i="543"/>
  <c r="Q151" i="543"/>
  <c r="P151" i="543"/>
  <c r="O151" i="543"/>
  <c r="N151" i="543"/>
  <c r="M151" i="543"/>
  <c r="L151" i="543"/>
  <c r="K151" i="543"/>
  <c r="J151" i="543"/>
  <c r="I151" i="543"/>
  <c r="H151" i="543"/>
  <c r="G151" i="543"/>
  <c r="D151" i="543"/>
  <c r="G150" i="543"/>
  <c r="D150" i="543"/>
  <c r="G149" i="543"/>
  <c r="D149" i="543"/>
  <c r="G148" i="543"/>
  <c r="D148" i="543"/>
  <c r="N143" i="543"/>
  <c r="M143" i="543"/>
  <c r="L143" i="543"/>
  <c r="K143" i="543"/>
  <c r="J143" i="543"/>
  <c r="I143" i="543"/>
  <c r="H143" i="543"/>
  <c r="G143" i="543"/>
  <c r="G147" i="543"/>
  <c r="D147" i="543"/>
  <c r="G146" i="543"/>
  <c r="D146" i="543"/>
  <c r="R145" i="543"/>
  <c r="Q145" i="543"/>
  <c r="P145" i="543"/>
  <c r="O145" i="543"/>
  <c r="N145" i="543"/>
  <c r="M145" i="543"/>
  <c r="L145" i="543"/>
  <c r="K145" i="543"/>
  <c r="J145" i="543"/>
  <c r="I145" i="543"/>
  <c r="H145" i="543"/>
  <c r="G145" i="543"/>
  <c r="D145" i="543"/>
  <c r="R143" i="543"/>
  <c r="Q143" i="543"/>
  <c r="P143" i="543"/>
  <c r="O143" i="543"/>
  <c r="R142" i="543"/>
  <c r="Q142" i="543"/>
  <c r="P142" i="543"/>
  <c r="O142" i="543"/>
  <c r="N142" i="543"/>
  <c r="M142" i="543"/>
  <c r="L142" i="543"/>
  <c r="K142" i="543"/>
  <c r="J142" i="543"/>
  <c r="I142" i="543"/>
  <c r="H142" i="543"/>
  <c r="G142" i="543"/>
  <c r="R109" i="543"/>
  <c r="R141" i="543"/>
  <c r="Q109" i="543"/>
  <c r="Q141" i="543"/>
  <c r="P109" i="543"/>
  <c r="P141" i="543"/>
  <c r="O109" i="543"/>
  <c r="O141" i="543"/>
  <c r="N109" i="543"/>
  <c r="N141" i="543"/>
  <c r="M109" i="543"/>
  <c r="M141" i="543"/>
  <c r="L109" i="543"/>
  <c r="L141" i="543"/>
  <c r="K109" i="543"/>
  <c r="K141" i="543"/>
  <c r="J109" i="543"/>
  <c r="J141" i="543"/>
  <c r="I109" i="543"/>
  <c r="I141" i="543"/>
  <c r="H109" i="543"/>
  <c r="H141" i="543"/>
  <c r="G109" i="543"/>
  <c r="G141" i="543"/>
  <c r="R139" i="543"/>
  <c r="Q139" i="543"/>
  <c r="P139" i="543"/>
  <c r="O139" i="543"/>
  <c r="N139" i="543"/>
  <c r="M139" i="543"/>
  <c r="L139" i="543"/>
  <c r="K139" i="543"/>
  <c r="J139" i="543"/>
  <c r="I139" i="543"/>
  <c r="H139" i="543"/>
  <c r="G139" i="543"/>
  <c r="G121" i="543"/>
  <c r="G122" i="543"/>
  <c r="G123" i="543"/>
  <c r="I123" i="543"/>
  <c r="I124" i="543"/>
  <c r="H123" i="543"/>
  <c r="H124" i="543"/>
  <c r="G124" i="543"/>
  <c r="I122" i="543"/>
  <c r="B106" i="543"/>
  <c r="B107" i="543"/>
  <c r="B108" i="543"/>
  <c r="B109" i="543"/>
  <c r="B110" i="543"/>
  <c r="B111" i="543"/>
  <c r="B112" i="543"/>
  <c r="B113" i="543"/>
  <c r="S107" i="543"/>
  <c r="S106" i="543"/>
  <c r="G65" i="543"/>
  <c r="G66" i="543"/>
  <c r="G67" i="543"/>
  <c r="G73" i="543"/>
  <c r="G92" i="543"/>
  <c r="G93" i="543"/>
  <c r="G94" i="543"/>
  <c r="G95" i="543"/>
  <c r="G104" i="543"/>
  <c r="G105" i="543"/>
  <c r="H65" i="543"/>
  <c r="H66" i="543"/>
  <c r="H67" i="543"/>
  <c r="H73" i="543"/>
  <c r="H92" i="543"/>
  <c r="H93" i="543"/>
  <c r="H27" i="543"/>
  <c r="H94" i="543"/>
  <c r="H95" i="543"/>
  <c r="H104" i="543"/>
  <c r="H105" i="543"/>
  <c r="I65" i="543"/>
  <c r="I66" i="543"/>
  <c r="I67" i="543"/>
  <c r="I73" i="543"/>
  <c r="I92" i="543"/>
  <c r="I93" i="543"/>
  <c r="I27" i="543"/>
  <c r="I94" i="543"/>
  <c r="I95" i="543"/>
  <c r="I104" i="543"/>
  <c r="I105" i="543"/>
  <c r="J65" i="543"/>
  <c r="J66" i="543"/>
  <c r="J67" i="543"/>
  <c r="J73" i="543"/>
  <c r="J92" i="543"/>
  <c r="J93" i="543"/>
  <c r="J27" i="543"/>
  <c r="J94" i="543"/>
  <c r="J95" i="543"/>
  <c r="J104" i="543"/>
  <c r="J105" i="543"/>
  <c r="K65" i="543"/>
  <c r="K66" i="543"/>
  <c r="K67" i="543"/>
  <c r="K73" i="543"/>
  <c r="K92" i="543"/>
  <c r="K93" i="543"/>
  <c r="K27" i="543"/>
  <c r="K94" i="543"/>
  <c r="K95" i="543"/>
  <c r="K104" i="543"/>
  <c r="K105" i="543"/>
  <c r="L65" i="543"/>
  <c r="L66" i="543"/>
  <c r="L67" i="543"/>
  <c r="L73" i="543"/>
  <c r="L92" i="543"/>
  <c r="L93" i="543"/>
  <c r="L27" i="543"/>
  <c r="L94" i="543"/>
  <c r="L95" i="543"/>
  <c r="L104" i="543"/>
  <c r="L105" i="543"/>
  <c r="M65" i="543"/>
  <c r="M66" i="543"/>
  <c r="M67" i="543"/>
  <c r="M73" i="543"/>
  <c r="M92" i="543"/>
  <c r="M93" i="543"/>
  <c r="M27" i="543"/>
  <c r="M94" i="543"/>
  <c r="M95" i="543"/>
  <c r="M104" i="543"/>
  <c r="M105" i="543"/>
  <c r="N65" i="543"/>
  <c r="N66" i="543"/>
  <c r="N67" i="543"/>
  <c r="N73" i="543"/>
  <c r="N92" i="543"/>
  <c r="N93" i="543"/>
  <c r="N27" i="543"/>
  <c r="N94" i="543"/>
  <c r="N95" i="543"/>
  <c r="N104" i="543"/>
  <c r="N105" i="543"/>
  <c r="O65" i="543"/>
  <c r="O66" i="543"/>
  <c r="O67" i="543"/>
  <c r="O73" i="543"/>
  <c r="O92" i="543"/>
  <c r="O93" i="543"/>
  <c r="O27" i="543"/>
  <c r="O94" i="543"/>
  <c r="O95" i="543"/>
  <c r="O104" i="543"/>
  <c r="O105" i="543"/>
  <c r="P65" i="543"/>
  <c r="P66" i="543"/>
  <c r="P67" i="543"/>
  <c r="P73" i="543"/>
  <c r="P92" i="543"/>
  <c r="P93" i="543"/>
  <c r="P27" i="543"/>
  <c r="P94" i="543"/>
  <c r="P95" i="543"/>
  <c r="P104" i="543"/>
  <c r="P105" i="543"/>
  <c r="Q65" i="543"/>
  <c r="Q66" i="543"/>
  <c r="Q67" i="543"/>
  <c r="Q73" i="543"/>
  <c r="Q92" i="543"/>
  <c r="Q93" i="543"/>
  <c r="Q27" i="543"/>
  <c r="Q94" i="543"/>
  <c r="Q95" i="543"/>
  <c r="Q104" i="543"/>
  <c r="Q105" i="543"/>
  <c r="R65" i="543"/>
  <c r="R66" i="543"/>
  <c r="R67" i="543"/>
  <c r="R73" i="543"/>
  <c r="R92" i="543"/>
  <c r="R93" i="543"/>
  <c r="R27" i="543"/>
  <c r="R94" i="543"/>
  <c r="R95" i="543"/>
  <c r="R104" i="543"/>
  <c r="R105" i="543"/>
  <c r="S105" i="543"/>
  <c r="S104" i="543"/>
  <c r="G103" i="543"/>
  <c r="H103" i="543"/>
  <c r="I103" i="543"/>
  <c r="J103" i="543"/>
  <c r="K103" i="543"/>
  <c r="L103" i="543"/>
  <c r="M103" i="543"/>
  <c r="N103" i="543"/>
  <c r="O103" i="543"/>
  <c r="P103" i="543"/>
  <c r="Q103" i="543"/>
  <c r="R103" i="543"/>
  <c r="S103" i="543"/>
  <c r="S102" i="543"/>
  <c r="G98" i="543"/>
  <c r="G99" i="543"/>
  <c r="G101" i="543"/>
  <c r="H98" i="543"/>
  <c r="H99" i="543"/>
  <c r="H101" i="543"/>
  <c r="I98" i="543"/>
  <c r="I99" i="543"/>
  <c r="I101" i="543"/>
  <c r="J98" i="543"/>
  <c r="J99" i="543"/>
  <c r="J101" i="543"/>
  <c r="K98" i="543"/>
  <c r="K99" i="543"/>
  <c r="K101" i="543"/>
  <c r="L98" i="543"/>
  <c r="L99" i="543"/>
  <c r="L101" i="543"/>
  <c r="M98" i="543"/>
  <c r="M99" i="543"/>
  <c r="M101" i="543"/>
  <c r="N98" i="543"/>
  <c r="N99" i="543"/>
  <c r="N101" i="543"/>
  <c r="O98" i="543"/>
  <c r="O99" i="543"/>
  <c r="O101" i="543"/>
  <c r="P98" i="543"/>
  <c r="P99" i="543"/>
  <c r="P101" i="543"/>
  <c r="Q98" i="543"/>
  <c r="Q99" i="543"/>
  <c r="Q101" i="543"/>
  <c r="R98" i="543"/>
  <c r="R99" i="543"/>
  <c r="R101" i="543"/>
  <c r="S101" i="543"/>
  <c r="G100" i="543"/>
  <c r="H100" i="543"/>
  <c r="I100" i="543"/>
  <c r="J100" i="543"/>
  <c r="K100" i="543"/>
  <c r="L100" i="543"/>
  <c r="M100" i="543"/>
  <c r="N100" i="543"/>
  <c r="O100" i="543"/>
  <c r="P100" i="543"/>
  <c r="Q100" i="543"/>
  <c r="R100" i="543"/>
  <c r="S100" i="543"/>
  <c r="S99" i="543"/>
  <c r="S98" i="543"/>
  <c r="S97" i="543"/>
  <c r="S95" i="543"/>
  <c r="S93" i="543"/>
  <c r="S92" i="543"/>
  <c r="S91" i="543"/>
  <c r="S90" i="543"/>
  <c r="S89" i="543"/>
  <c r="S88" i="543"/>
  <c r="S87" i="543"/>
  <c r="S86" i="543"/>
  <c r="S85" i="543"/>
  <c r="S84" i="543"/>
  <c r="S83" i="543"/>
  <c r="S82" i="543"/>
  <c r="D82" i="543"/>
  <c r="S81" i="543"/>
  <c r="D81" i="543"/>
  <c r="S80" i="543"/>
  <c r="D80" i="543"/>
  <c r="S79" i="543"/>
  <c r="D79" i="543"/>
  <c r="S78" i="543"/>
  <c r="D78" i="543"/>
  <c r="S77" i="543"/>
  <c r="D77" i="543"/>
  <c r="S76" i="543"/>
  <c r="S75" i="543"/>
  <c r="S74" i="543"/>
  <c r="S73" i="543"/>
  <c r="S72" i="543"/>
  <c r="S70" i="543"/>
  <c r="S69" i="543"/>
  <c r="S68" i="543"/>
  <c r="S67" i="543"/>
  <c r="S66" i="543"/>
  <c r="S65" i="543"/>
  <c r="S64" i="543"/>
  <c r="S63" i="543"/>
  <c r="S62" i="543"/>
  <c r="S61" i="543"/>
  <c r="S60" i="543"/>
  <c r="S59" i="543"/>
  <c r="S58" i="543"/>
  <c r="S57" i="543"/>
  <c r="S56" i="543"/>
  <c r="S55" i="543"/>
  <c r="S54" i="543"/>
  <c r="E54" i="543"/>
  <c r="C54" i="543"/>
  <c r="S53" i="543"/>
  <c r="E53" i="543"/>
  <c r="C53" i="543"/>
  <c r="S52" i="543"/>
  <c r="E52" i="543"/>
  <c r="C52" i="543"/>
  <c r="S51" i="543"/>
  <c r="E51" i="543"/>
  <c r="C51" i="543"/>
  <c r="S50" i="543"/>
  <c r="E50" i="543"/>
  <c r="C50" i="543"/>
  <c r="S49" i="543"/>
  <c r="E49" i="543"/>
  <c r="C49" i="543"/>
  <c r="S48" i="543"/>
  <c r="S47" i="543"/>
  <c r="S46" i="543"/>
  <c r="S45" i="543"/>
  <c r="R2" i="543"/>
  <c r="R44" i="543"/>
  <c r="Q2" i="543"/>
  <c r="Q44" i="543"/>
  <c r="P2" i="543"/>
  <c r="P44" i="543"/>
  <c r="O2" i="543"/>
  <c r="O44" i="543"/>
  <c r="N2" i="543"/>
  <c r="N44" i="543"/>
  <c r="M2" i="543"/>
  <c r="M44" i="543"/>
  <c r="L2" i="543"/>
  <c r="L44" i="543"/>
  <c r="K2" i="543"/>
  <c r="K44" i="543"/>
  <c r="J2" i="543"/>
  <c r="J44" i="543"/>
  <c r="I2" i="543"/>
  <c r="I44" i="543"/>
  <c r="H2" i="543"/>
  <c r="H44" i="543"/>
  <c r="G2" i="543"/>
  <c r="G44" i="543"/>
  <c r="A44" i="543"/>
  <c r="R7" i="543"/>
  <c r="Q7" i="543"/>
  <c r="P7" i="543"/>
  <c r="O7" i="543"/>
  <c r="N7" i="543"/>
  <c r="M7" i="543"/>
  <c r="L7" i="543"/>
  <c r="K7" i="543"/>
  <c r="J7" i="543"/>
  <c r="I7" i="543"/>
  <c r="H7" i="543"/>
  <c r="H1" i="543"/>
  <c r="I1" i="543"/>
  <c r="J1" i="543"/>
  <c r="K1" i="543"/>
  <c r="L1" i="543"/>
  <c r="M1" i="543"/>
  <c r="N1" i="543"/>
  <c r="O1" i="543"/>
  <c r="P1" i="543"/>
  <c r="Q1" i="543"/>
  <c r="R1" i="543"/>
  <c r="B74" i="542"/>
  <c r="B75" i="542"/>
  <c r="B76" i="542"/>
  <c r="B77" i="542"/>
  <c r="B78" i="542"/>
  <c r="B79" i="542"/>
  <c r="B80" i="542"/>
  <c r="B81" i="542"/>
  <c r="B82" i="542"/>
  <c r="B83" i="542"/>
  <c r="B84" i="542"/>
  <c r="B85" i="542"/>
  <c r="B86" i="542"/>
  <c r="B87" i="542"/>
  <c r="B88" i="542"/>
  <c r="B89" i="542"/>
  <c r="B90" i="542"/>
  <c r="B91" i="542"/>
  <c r="B92" i="542"/>
  <c r="B93" i="542"/>
  <c r="B94" i="542"/>
  <c r="B95" i="542"/>
  <c r="B96" i="542"/>
  <c r="B97" i="542"/>
  <c r="B98" i="542"/>
  <c r="B99" i="542"/>
  <c r="B100" i="542"/>
  <c r="B101" i="542"/>
  <c r="B102" i="542"/>
  <c r="B103" i="542"/>
  <c r="B104" i="542"/>
  <c r="B105" i="542"/>
  <c r="D205" i="542"/>
  <c r="B173" i="542"/>
  <c r="B174" i="542"/>
  <c r="B175" i="542"/>
  <c r="B176" i="542"/>
  <c r="B177" i="542"/>
  <c r="B178" i="542"/>
  <c r="B179" i="542"/>
  <c r="B180" i="542"/>
  <c r="B181" i="542"/>
  <c r="B182" i="542"/>
  <c r="B183" i="542"/>
  <c r="B184" i="542"/>
  <c r="B185" i="542"/>
  <c r="B186" i="542"/>
  <c r="B187" i="542"/>
  <c r="B188" i="542"/>
  <c r="B189" i="542"/>
  <c r="B190" i="542"/>
  <c r="B191" i="542"/>
  <c r="B192" i="542"/>
  <c r="B193" i="542"/>
  <c r="B194" i="542"/>
  <c r="B195" i="542"/>
  <c r="B196" i="542"/>
  <c r="B197" i="542"/>
  <c r="B198" i="542"/>
  <c r="B199" i="542"/>
  <c r="B200" i="542"/>
  <c r="B201" i="542"/>
  <c r="B202" i="542"/>
  <c r="B203" i="542"/>
  <c r="B204" i="542"/>
  <c r="B205" i="542"/>
  <c r="D204" i="542"/>
  <c r="R203" i="542"/>
  <c r="Q203" i="542"/>
  <c r="P203" i="542"/>
  <c r="O203" i="542"/>
  <c r="N203" i="542"/>
  <c r="M203" i="542"/>
  <c r="L203" i="542"/>
  <c r="K203" i="542"/>
  <c r="J203" i="542"/>
  <c r="I203" i="542"/>
  <c r="H203" i="542"/>
  <c r="G203" i="542"/>
  <c r="D203" i="542"/>
  <c r="R202" i="542"/>
  <c r="Q202" i="542"/>
  <c r="P202" i="542"/>
  <c r="O202" i="542"/>
  <c r="N202" i="542"/>
  <c r="M202" i="542"/>
  <c r="L202" i="542"/>
  <c r="K202" i="542"/>
  <c r="J202" i="542"/>
  <c r="I202" i="542"/>
  <c r="H202" i="542"/>
  <c r="G202" i="542"/>
  <c r="D202" i="542"/>
  <c r="D201" i="542"/>
  <c r="D200" i="542"/>
  <c r="D199" i="542"/>
  <c r="D198" i="542"/>
  <c r="D197" i="542"/>
  <c r="D196" i="542"/>
  <c r="H26" i="542"/>
  <c r="I26" i="542"/>
  <c r="J26" i="542"/>
  <c r="K26" i="542"/>
  <c r="L26" i="542"/>
  <c r="M26" i="542"/>
  <c r="N26" i="542"/>
  <c r="O26" i="542"/>
  <c r="P26" i="542"/>
  <c r="Q26" i="542"/>
  <c r="R26" i="542"/>
  <c r="D195" i="542"/>
  <c r="D194" i="542"/>
  <c r="D193" i="542"/>
  <c r="R64" i="542"/>
  <c r="R102" i="542"/>
  <c r="R90" i="542"/>
  <c r="R91" i="542"/>
  <c r="Q64" i="542"/>
  <c r="Q102" i="542"/>
  <c r="Q90" i="542"/>
  <c r="Q91" i="542"/>
  <c r="P64" i="542"/>
  <c r="P102" i="542"/>
  <c r="P90" i="542"/>
  <c r="P91" i="542"/>
  <c r="O64" i="542"/>
  <c r="O102" i="542"/>
  <c r="O90" i="542"/>
  <c r="O91" i="542"/>
  <c r="N64" i="542"/>
  <c r="N102" i="542"/>
  <c r="N90" i="542"/>
  <c r="N91" i="542"/>
  <c r="M64" i="542"/>
  <c r="M102" i="542"/>
  <c r="M90" i="542"/>
  <c r="M91" i="542"/>
  <c r="L64" i="542"/>
  <c r="L102" i="542"/>
  <c r="L90" i="542"/>
  <c r="L91" i="542"/>
  <c r="K64" i="542"/>
  <c r="K102" i="542"/>
  <c r="K90" i="542"/>
  <c r="K91" i="542"/>
  <c r="J64" i="542"/>
  <c r="J102" i="542"/>
  <c r="J90" i="542"/>
  <c r="J91" i="542"/>
  <c r="I64" i="542"/>
  <c r="I102" i="542"/>
  <c r="I90" i="542"/>
  <c r="I91" i="542"/>
  <c r="H64" i="542"/>
  <c r="H102" i="542"/>
  <c r="H90" i="542"/>
  <c r="H91" i="542"/>
  <c r="G102" i="542"/>
  <c r="G90" i="542"/>
  <c r="G91" i="542"/>
  <c r="D192" i="542"/>
  <c r="D191" i="542"/>
  <c r="D190" i="542"/>
  <c r="D189" i="542"/>
  <c r="R188" i="542"/>
  <c r="Q188" i="542"/>
  <c r="P188" i="542"/>
  <c r="O188" i="542"/>
  <c r="N188" i="542"/>
  <c r="M188" i="542"/>
  <c r="L188" i="542"/>
  <c r="K188" i="542"/>
  <c r="J188" i="542"/>
  <c r="I188" i="542"/>
  <c r="H188" i="542"/>
  <c r="G188" i="542"/>
  <c r="D188" i="542"/>
  <c r="R187" i="542"/>
  <c r="Q187" i="542"/>
  <c r="P187" i="542"/>
  <c r="O187" i="542"/>
  <c r="N187" i="542"/>
  <c r="M187" i="542"/>
  <c r="L187" i="542"/>
  <c r="K187" i="542"/>
  <c r="J187" i="542"/>
  <c r="I187" i="542"/>
  <c r="H187" i="542"/>
  <c r="G187" i="542"/>
  <c r="D187" i="542"/>
  <c r="D186" i="542"/>
  <c r="R185" i="542"/>
  <c r="Q185" i="542"/>
  <c r="P185" i="542"/>
  <c r="O185" i="542"/>
  <c r="N185" i="542"/>
  <c r="M185" i="542"/>
  <c r="L185" i="542"/>
  <c r="K185" i="542"/>
  <c r="J185" i="542"/>
  <c r="I185" i="542"/>
  <c r="H185" i="542"/>
  <c r="G185" i="542"/>
  <c r="D185" i="542"/>
  <c r="R184" i="542"/>
  <c r="Q184" i="542"/>
  <c r="P184" i="542"/>
  <c r="O184" i="542"/>
  <c r="N184" i="542"/>
  <c r="M184" i="542"/>
  <c r="L184" i="542"/>
  <c r="K184" i="542"/>
  <c r="J184" i="542"/>
  <c r="I184" i="542"/>
  <c r="H184" i="542"/>
  <c r="G184" i="542"/>
  <c r="D184" i="542"/>
  <c r="R183" i="542"/>
  <c r="Q183" i="542"/>
  <c r="P183" i="542"/>
  <c r="O183" i="542"/>
  <c r="N183" i="542"/>
  <c r="M183" i="542"/>
  <c r="L183" i="542"/>
  <c r="K183" i="542"/>
  <c r="J183" i="542"/>
  <c r="I183" i="542"/>
  <c r="H183" i="542"/>
  <c r="G183" i="542"/>
  <c r="D183" i="542"/>
  <c r="R182" i="542"/>
  <c r="Q182" i="542"/>
  <c r="P182" i="542"/>
  <c r="O182" i="542"/>
  <c r="N182" i="542"/>
  <c r="M182" i="542"/>
  <c r="L182" i="542"/>
  <c r="K182" i="542"/>
  <c r="J182" i="542"/>
  <c r="I182" i="542"/>
  <c r="H182" i="542"/>
  <c r="G182" i="542"/>
  <c r="D182" i="542"/>
  <c r="R181" i="542"/>
  <c r="Q181" i="542"/>
  <c r="P181" i="542"/>
  <c r="O181" i="542"/>
  <c r="N181" i="542"/>
  <c r="M181" i="542"/>
  <c r="L181" i="542"/>
  <c r="K181" i="542"/>
  <c r="J181" i="542"/>
  <c r="I181" i="542"/>
  <c r="H181" i="542"/>
  <c r="G181" i="542"/>
  <c r="D181" i="542"/>
  <c r="R180" i="542"/>
  <c r="Q180" i="542"/>
  <c r="P180" i="542"/>
  <c r="O180" i="542"/>
  <c r="N180" i="542"/>
  <c r="M180" i="542"/>
  <c r="L180" i="542"/>
  <c r="K180" i="542"/>
  <c r="J180" i="542"/>
  <c r="I180" i="542"/>
  <c r="H180" i="542"/>
  <c r="G180" i="542"/>
  <c r="D180" i="542"/>
  <c r="R179" i="542"/>
  <c r="Q179" i="542"/>
  <c r="P179" i="542"/>
  <c r="O179" i="542"/>
  <c r="N179" i="542"/>
  <c r="M179" i="542"/>
  <c r="L179" i="542"/>
  <c r="K179" i="542"/>
  <c r="J179" i="542"/>
  <c r="I179" i="542"/>
  <c r="H179" i="542"/>
  <c r="G179" i="542"/>
  <c r="D179" i="542"/>
  <c r="R178" i="542"/>
  <c r="Q178" i="542"/>
  <c r="P178" i="542"/>
  <c r="O178" i="542"/>
  <c r="N178" i="542"/>
  <c r="M178" i="542"/>
  <c r="L178" i="542"/>
  <c r="K178" i="542"/>
  <c r="J178" i="542"/>
  <c r="I178" i="542"/>
  <c r="H178" i="542"/>
  <c r="G178" i="542"/>
  <c r="D178" i="542"/>
  <c r="R177" i="542"/>
  <c r="Q177" i="542"/>
  <c r="P177" i="542"/>
  <c r="O177" i="542"/>
  <c r="N177" i="542"/>
  <c r="M177" i="542"/>
  <c r="L177" i="542"/>
  <c r="K177" i="542"/>
  <c r="J177" i="542"/>
  <c r="I177" i="542"/>
  <c r="H177" i="542"/>
  <c r="G177" i="542"/>
  <c r="D177" i="542"/>
  <c r="R176" i="542"/>
  <c r="Q176" i="542"/>
  <c r="P176" i="542"/>
  <c r="O176" i="542"/>
  <c r="N176" i="542"/>
  <c r="M176" i="542"/>
  <c r="L176" i="542"/>
  <c r="K176" i="542"/>
  <c r="J176" i="542"/>
  <c r="I176" i="542"/>
  <c r="H176" i="542"/>
  <c r="G176" i="542"/>
  <c r="D176" i="542"/>
  <c r="R175" i="542"/>
  <c r="Q175" i="542"/>
  <c r="P175" i="542"/>
  <c r="O175" i="542"/>
  <c r="N175" i="542"/>
  <c r="M175" i="542"/>
  <c r="L175" i="542"/>
  <c r="K175" i="542"/>
  <c r="J175" i="542"/>
  <c r="I175" i="542"/>
  <c r="H175" i="542"/>
  <c r="G175" i="542"/>
  <c r="D175" i="542"/>
  <c r="R174" i="542"/>
  <c r="Q174" i="542"/>
  <c r="P174" i="542"/>
  <c r="O174" i="542"/>
  <c r="N174" i="542"/>
  <c r="M174" i="542"/>
  <c r="L174" i="542"/>
  <c r="K174" i="542"/>
  <c r="J174" i="542"/>
  <c r="I174" i="542"/>
  <c r="H174" i="542"/>
  <c r="G174" i="542"/>
  <c r="D174" i="542"/>
  <c r="D173" i="542"/>
  <c r="G64" i="542"/>
  <c r="R172" i="542"/>
  <c r="Q172" i="542"/>
  <c r="P172" i="542"/>
  <c r="O172" i="542"/>
  <c r="N172" i="542"/>
  <c r="M172" i="542"/>
  <c r="L172" i="542"/>
  <c r="K172" i="542"/>
  <c r="J172" i="542"/>
  <c r="I172" i="542"/>
  <c r="H172" i="542"/>
  <c r="G172" i="542"/>
  <c r="R170" i="542"/>
  <c r="Q170" i="542"/>
  <c r="P170" i="542"/>
  <c r="O170" i="542"/>
  <c r="N170" i="542"/>
  <c r="M170" i="542"/>
  <c r="L170" i="542"/>
  <c r="K170" i="542"/>
  <c r="J170" i="542"/>
  <c r="I170" i="542"/>
  <c r="H170" i="542"/>
  <c r="G170" i="542"/>
  <c r="D170" i="542"/>
  <c r="R169" i="542"/>
  <c r="Q169" i="542"/>
  <c r="P169" i="542"/>
  <c r="O169" i="542"/>
  <c r="N169" i="542"/>
  <c r="M169" i="542"/>
  <c r="L169" i="542"/>
  <c r="K169" i="542"/>
  <c r="J169" i="542"/>
  <c r="I169" i="542"/>
  <c r="H169" i="542"/>
  <c r="G169" i="542"/>
  <c r="D169" i="542"/>
  <c r="R168" i="542"/>
  <c r="Q168" i="542"/>
  <c r="P168" i="542"/>
  <c r="O168" i="542"/>
  <c r="N168" i="542"/>
  <c r="M168" i="542"/>
  <c r="L168" i="542"/>
  <c r="K168" i="542"/>
  <c r="J168" i="542"/>
  <c r="I168" i="542"/>
  <c r="H168" i="542"/>
  <c r="G168" i="542"/>
  <c r="D168" i="542"/>
  <c r="D167" i="542"/>
  <c r="R166" i="542"/>
  <c r="Q166" i="542"/>
  <c r="P166" i="542"/>
  <c r="O166" i="542"/>
  <c r="N166" i="542"/>
  <c r="M166" i="542"/>
  <c r="L166" i="542"/>
  <c r="K166" i="542"/>
  <c r="J166" i="542"/>
  <c r="I166" i="542"/>
  <c r="H166" i="542"/>
  <c r="G166" i="542"/>
  <c r="D166" i="542"/>
  <c r="R165" i="542"/>
  <c r="Q165" i="542"/>
  <c r="P165" i="542"/>
  <c r="O165" i="542"/>
  <c r="N165" i="542"/>
  <c r="M165" i="542"/>
  <c r="L165" i="542"/>
  <c r="K165" i="542"/>
  <c r="J165" i="542"/>
  <c r="I165" i="542"/>
  <c r="H165" i="542"/>
  <c r="G165" i="542"/>
  <c r="D165" i="542"/>
  <c r="R164" i="542"/>
  <c r="Q164" i="542"/>
  <c r="P164" i="542"/>
  <c r="O164" i="542"/>
  <c r="N164" i="542"/>
  <c r="M164" i="542"/>
  <c r="L164" i="542"/>
  <c r="K164" i="542"/>
  <c r="J164" i="542"/>
  <c r="I164" i="542"/>
  <c r="H164" i="542"/>
  <c r="G164" i="542"/>
  <c r="D164" i="542"/>
  <c r="R163" i="542"/>
  <c r="Q163" i="542"/>
  <c r="P163" i="542"/>
  <c r="O163" i="542"/>
  <c r="N163" i="542"/>
  <c r="M163" i="542"/>
  <c r="L163" i="542"/>
  <c r="K163" i="542"/>
  <c r="J163" i="542"/>
  <c r="I163" i="542"/>
  <c r="H163" i="542"/>
  <c r="G163" i="542"/>
  <c r="D163" i="542"/>
  <c r="D162" i="542"/>
  <c r="R161" i="542"/>
  <c r="Q161" i="542"/>
  <c r="P161" i="542"/>
  <c r="O161" i="542"/>
  <c r="N161" i="542"/>
  <c r="M161" i="542"/>
  <c r="L161" i="542"/>
  <c r="K161" i="542"/>
  <c r="J161" i="542"/>
  <c r="I161" i="542"/>
  <c r="H161" i="542"/>
  <c r="G161" i="542"/>
  <c r="D161" i="542"/>
  <c r="R160" i="542"/>
  <c r="Q160" i="542"/>
  <c r="P160" i="542"/>
  <c r="O160" i="542"/>
  <c r="N160" i="542"/>
  <c r="M160" i="542"/>
  <c r="L160" i="542"/>
  <c r="K160" i="542"/>
  <c r="J160" i="542"/>
  <c r="I160" i="542"/>
  <c r="H160" i="542"/>
  <c r="G160" i="542"/>
  <c r="D160" i="542"/>
  <c r="R159" i="542"/>
  <c r="Q159" i="542"/>
  <c r="P159" i="542"/>
  <c r="O159" i="542"/>
  <c r="N159" i="542"/>
  <c r="M159" i="542"/>
  <c r="L159" i="542"/>
  <c r="K159" i="542"/>
  <c r="J159" i="542"/>
  <c r="I159" i="542"/>
  <c r="H159" i="542"/>
  <c r="G159" i="542"/>
  <c r="D159" i="542"/>
  <c r="R158" i="542"/>
  <c r="Q158" i="542"/>
  <c r="P158" i="542"/>
  <c r="O158" i="542"/>
  <c r="N158" i="542"/>
  <c r="M158" i="542"/>
  <c r="L158" i="542"/>
  <c r="K158" i="542"/>
  <c r="J158" i="542"/>
  <c r="I158" i="542"/>
  <c r="H158" i="542"/>
  <c r="G158" i="542"/>
  <c r="D158" i="542"/>
  <c r="R157" i="542"/>
  <c r="Q157" i="542"/>
  <c r="P157" i="542"/>
  <c r="O157" i="542"/>
  <c r="N157" i="542"/>
  <c r="M157" i="542"/>
  <c r="L157" i="542"/>
  <c r="K157" i="542"/>
  <c r="J157" i="542"/>
  <c r="I157" i="542"/>
  <c r="H157" i="542"/>
  <c r="G157" i="542"/>
  <c r="D157" i="542"/>
  <c r="R156" i="542"/>
  <c r="Q156" i="542"/>
  <c r="P156" i="542"/>
  <c r="O156" i="542"/>
  <c r="N156" i="542"/>
  <c r="M156" i="542"/>
  <c r="L156" i="542"/>
  <c r="K156" i="542"/>
  <c r="J156" i="542"/>
  <c r="I156" i="542"/>
  <c r="H156" i="542"/>
  <c r="G156" i="542"/>
  <c r="D156" i="542"/>
  <c r="R155" i="542"/>
  <c r="Q155" i="542"/>
  <c r="P155" i="542"/>
  <c r="O155" i="542"/>
  <c r="N155" i="542"/>
  <c r="M155" i="542"/>
  <c r="L155" i="542"/>
  <c r="K155" i="542"/>
  <c r="J155" i="542"/>
  <c r="I155" i="542"/>
  <c r="H155" i="542"/>
  <c r="G155" i="542"/>
  <c r="D155" i="542"/>
  <c r="R154" i="542"/>
  <c r="Q154" i="542"/>
  <c r="P154" i="542"/>
  <c r="O154" i="542"/>
  <c r="N154" i="542"/>
  <c r="M154" i="542"/>
  <c r="L154" i="542"/>
  <c r="K154" i="542"/>
  <c r="J154" i="542"/>
  <c r="I154" i="542"/>
  <c r="H154" i="542"/>
  <c r="G154" i="542"/>
  <c r="D154" i="542"/>
  <c r="R153" i="542"/>
  <c r="Q153" i="542"/>
  <c r="P153" i="542"/>
  <c r="O153" i="542"/>
  <c r="N153" i="542"/>
  <c r="M153" i="542"/>
  <c r="L153" i="542"/>
  <c r="K153" i="542"/>
  <c r="J153" i="542"/>
  <c r="I153" i="542"/>
  <c r="H153" i="542"/>
  <c r="G153" i="542"/>
  <c r="D153" i="542"/>
  <c r="R152" i="542"/>
  <c r="Q152" i="542"/>
  <c r="P152" i="542"/>
  <c r="O152" i="542"/>
  <c r="N152" i="542"/>
  <c r="M152" i="542"/>
  <c r="L152" i="542"/>
  <c r="K152" i="542"/>
  <c r="J152" i="542"/>
  <c r="I152" i="542"/>
  <c r="H152" i="542"/>
  <c r="G152" i="542"/>
  <c r="D152" i="542"/>
  <c r="R151" i="542"/>
  <c r="Q151" i="542"/>
  <c r="P151" i="542"/>
  <c r="O151" i="542"/>
  <c r="N151" i="542"/>
  <c r="M151" i="542"/>
  <c r="L151" i="542"/>
  <c r="K151" i="542"/>
  <c r="J151" i="542"/>
  <c r="I151" i="542"/>
  <c r="H151" i="542"/>
  <c r="G151" i="542"/>
  <c r="D151" i="542"/>
  <c r="G150" i="542"/>
  <c r="D150" i="542"/>
  <c r="G149" i="542"/>
  <c r="D149" i="542"/>
  <c r="G148" i="542"/>
  <c r="D148" i="542"/>
  <c r="N143" i="542"/>
  <c r="M143" i="542"/>
  <c r="L143" i="542"/>
  <c r="K143" i="542"/>
  <c r="J143" i="542"/>
  <c r="I143" i="542"/>
  <c r="H143" i="542"/>
  <c r="G143" i="542"/>
  <c r="G147" i="542"/>
  <c r="D147" i="542"/>
  <c r="G146" i="542"/>
  <c r="D146" i="542"/>
  <c r="R145" i="542"/>
  <c r="Q145" i="542"/>
  <c r="P145" i="542"/>
  <c r="O145" i="542"/>
  <c r="N145" i="542"/>
  <c r="M145" i="542"/>
  <c r="L145" i="542"/>
  <c r="K145" i="542"/>
  <c r="J145" i="542"/>
  <c r="I145" i="542"/>
  <c r="H145" i="542"/>
  <c r="G145" i="542"/>
  <c r="D145" i="542"/>
  <c r="R143" i="542"/>
  <c r="Q143" i="542"/>
  <c r="P143" i="542"/>
  <c r="O143" i="542"/>
  <c r="R142" i="542"/>
  <c r="Q142" i="542"/>
  <c r="P142" i="542"/>
  <c r="O142" i="542"/>
  <c r="N142" i="542"/>
  <c r="M142" i="542"/>
  <c r="L142" i="542"/>
  <c r="K142" i="542"/>
  <c r="J142" i="542"/>
  <c r="I142" i="542"/>
  <c r="H142" i="542"/>
  <c r="G142" i="542"/>
  <c r="R109" i="542"/>
  <c r="R141" i="542"/>
  <c r="Q109" i="542"/>
  <c r="Q141" i="542"/>
  <c r="P109" i="542"/>
  <c r="P141" i="542"/>
  <c r="O109" i="542"/>
  <c r="O141" i="542"/>
  <c r="N109" i="542"/>
  <c r="N141" i="542"/>
  <c r="M109" i="542"/>
  <c r="M141" i="542"/>
  <c r="L109" i="542"/>
  <c r="L141" i="542"/>
  <c r="K109" i="542"/>
  <c r="K141" i="542"/>
  <c r="J109" i="542"/>
  <c r="J141" i="542"/>
  <c r="I109" i="542"/>
  <c r="I141" i="542"/>
  <c r="H109" i="542"/>
  <c r="H141" i="542"/>
  <c r="G109" i="542"/>
  <c r="G141" i="542"/>
  <c r="R139" i="542"/>
  <c r="Q139" i="542"/>
  <c r="P139" i="542"/>
  <c r="O139" i="542"/>
  <c r="N139" i="542"/>
  <c r="M139" i="542"/>
  <c r="L139" i="542"/>
  <c r="K139" i="542"/>
  <c r="J139" i="542"/>
  <c r="I139" i="542"/>
  <c r="H139" i="542"/>
  <c r="G139" i="542"/>
  <c r="G121" i="542"/>
  <c r="G122" i="542"/>
  <c r="G123" i="542"/>
  <c r="I123" i="542"/>
  <c r="I124" i="542"/>
  <c r="H123" i="542"/>
  <c r="H124" i="542"/>
  <c r="G124" i="542"/>
  <c r="I122" i="542"/>
  <c r="B106" i="542"/>
  <c r="B107" i="542"/>
  <c r="B108" i="542"/>
  <c r="B109" i="542"/>
  <c r="B110" i="542"/>
  <c r="B111" i="542"/>
  <c r="B112" i="542"/>
  <c r="B113" i="542"/>
  <c r="S107" i="542"/>
  <c r="S106" i="542"/>
  <c r="G65" i="542"/>
  <c r="G66" i="542"/>
  <c r="G67" i="542"/>
  <c r="G73" i="542"/>
  <c r="G92" i="542"/>
  <c r="G93" i="542"/>
  <c r="G94" i="542"/>
  <c r="G95" i="542"/>
  <c r="G104" i="542"/>
  <c r="G105" i="542"/>
  <c r="H65" i="542"/>
  <c r="H66" i="542"/>
  <c r="H67" i="542"/>
  <c r="H73" i="542"/>
  <c r="H92" i="542"/>
  <c r="H93" i="542"/>
  <c r="H27" i="542"/>
  <c r="H94" i="542"/>
  <c r="H95" i="542"/>
  <c r="H104" i="542"/>
  <c r="H105" i="542"/>
  <c r="I65" i="542"/>
  <c r="I66" i="542"/>
  <c r="I67" i="542"/>
  <c r="I73" i="542"/>
  <c r="I92" i="542"/>
  <c r="I93" i="542"/>
  <c r="I27" i="542"/>
  <c r="I94" i="542"/>
  <c r="I95" i="542"/>
  <c r="I104" i="542"/>
  <c r="I105" i="542"/>
  <c r="J65" i="542"/>
  <c r="J66" i="542"/>
  <c r="J67" i="542"/>
  <c r="J73" i="542"/>
  <c r="J92" i="542"/>
  <c r="J93" i="542"/>
  <c r="J27" i="542"/>
  <c r="J94" i="542"/>
  <c r="J95" i="542"/>
  <c r="J104" i="542"/>
  <c r="J105" i="542"/>
  <c r="K65" i="542"/>
  <c r="K66" i="542"/>
  <c r="K67" i="542"/>
  <c r="K73" i="542"/>
  <c r="K92" i="542"/>
  <c r="K93" i="542"/>
  <c r="K27" i="542"/>
  <c r="K94" i="542"/>
  <c r="K95" i="542"/>
  <c r="K104" i="542"/>
  <c r="K105" i="542"/>
  <c r="L65" i="542"/>
  <c r="L66" i="542"/>
  <c r="L67" i="542"/>
  <c r="L73" i="542"/>
  <c r="L92" i="542"/>
  <c r="L93" i="542"/>
  <c r="L27" i="542"/>
  <c r="L94" i="542"/>
  <c r="L95" i="542"/>
  <c r="L104" i="542"/>
  <c r="L105" i="542"/>
  <c r="M65" i="542"/>
  <c r="M66" i="542"/>
  <c r="M67" i="542"/>
  <c r="M73" i="542"/>
  <c r="M92" i="542"/>
  <c r="M93" i="542"/>
  <c r="M27" i="542"/>
  <c r="M94" i="542"/>
  <c r="M95" i="542"/>
  <c r="M104" i="542"/>
  <c r="M105" i="542"/>
  <c r="N65" i="542"/>
  <c r="N66" i="542"/>
  <c r="N67" i="542"/>
  <c r="N73" i="542"/>
  <c r="N92" i="542"/>
  <c r="N93" i="542"/>
  <c r="N27" i="542"/>
  <c r="N94" i="542"/>
  <c r="N95" i="542"/>
  <c r="N104" i="542"/>
  <c r="N105" i="542"/>
  <c r="O65" i="542"/>
  <c r="O66" i="542"/>
  <c r="O67" i="542"/>
  <c r="O73" i="542"/>
  <c r="O92" i="542"/>
  <c r="O93" i="542"/>
  <c r="O27" i="542"/>
  <c r="O94" i="542"/>
  <c r="O95" i="542"/>
  <c r="O104" i="542"/>
  <c r="O105" i="542"/>
  <c r="P65" i="542"/>
  <c r="P66" i="542"/>
  <c r="P67" i="542"/>
  <c r="P73" i="542"/>
  <c r="P92" i="542"/>
  <c r="P93" i="542"/>
  <c r="P27" i="542"/>
  <c r="P94" i="542"/>
  <c r="P95" i="542"/>
  <c r="P104" i="542"/>
  <c r="P105" i="542"/>
  <c r="Q65" i="542"/>
  <c r="Q66" i="542"/>
  <c r="Q67" i="542"/>
  <c r="Q73" i="542"/>
  <c r="Q92" i="542"/>
  <c r="Q93" i="542"/>
  <c r="Q27" i="542"/>
  <c r="Q94" i="542"/>
  <c r="Q95" i="542"/>
  <c r="Q104" i="542"/>
  <c r="Q105" i="542"/>
  <c r="R65" i="542"/>
  <c r="R66" i="542"/>
  <c r="R67" i="542"/>
  <c r="R73" i="542"/>
  <c r="R92" i="542"/>
  <c r="R93" i="542"/>
  <c r="R27" i="542"/>
  <c r="R94" i="542"/>
  <c r="R95" i="542"/>
  <c r="R104" i="542"/>
  <c r="R105" i="542"/>
  <c r="S105" i="542"/>
  <c r="S104" i="542"/>
  <c r="G103" i="542"/>
  <c r="H103" i="542"/>
  <c r="I103" i="542"/>
  <c r="J103" i="542"/>
  <c r="K103" i="542"/>
  <c r="L103" i="542"/>
  <c r="M103" i="542"/>
  <c r="N103" i="542"/>
  <c r="O103" i="542"/>
  <c r="P103" i="542"/>
  <c r="Q103" i="542"/>
  <c r="R103" i="542"/>
  <c r="S103" i="542"/>
  <c r="S102" i="542"/>
  <c r="G98" i="542"/>
  <c r="G99" i="542"/>
  <c r="G101" i="542"/>
  <c r="H98" i="542"/>
  <c r="H99" i="542"/>
  <c r="H101" i="542"/>
  <c r="I98" i="542"/>
  <c r="I99" i="542"/>
  <c r="I101" i="542"/>
  <c r="J98" i="542"/>
  <c r="J99" i="542"/>
  <c r="J101" i="542"/>
  <c r="K98" i="542"/>
  <c r="K99" i="542"/>
  <c r="K101" i="542"/>
  <c r="L98" i="542"/>
  <c r="L99" i="542"/>
  <c r="L101" i="542"/>
  <c r="M98" i="542"/>
  <c r="M99" i="542"/>
  <c r="M101" i="542"/>
  <c r="N98" i="542"/>
  <c r="N99" i="542"/>
  <c r="N101" i="542"/>
  <c r="O98" i="542"/>
  <c r="O99" i="542"/>
  <c r="O101" i="542"/>
  <c r="P98" i="542"/>
  <c r="P99" i="542"/>
  <c r="P101" i="542"/>
  <c r="Q98" i="542"/>
  <c r="Q99" i="542"/>
  <c r="Q101" i="542"/>
  <c r="R98" i="542"/>
  <c r="R99" i="542"/>
  <c r="R101" i="542"/>
  <c r="S101" i="542"/>
  <c r="G100" i="542"/>
  <c r="H100" i="542"/>
  <c r="I100" i="542"/>
  <c r="J100" i="542"/>
  <c r="K100" i="542"/>
  <c r="L100" i="542"/>
  <c r="M100" i="542"/>
  <c r="N100" i="542"/>
  <c r="O100" i="542"/>
  <c r="P100" i="542"/>
  <c r="Q100" i="542"/>
  <c r="R100" i="542"/>
  <c r="S100" i="542"/>
  <c r="S99" i="542"/>
  <c r="S98" i="542"/>
  <c r="S97" i="542"/>
  <c r="S95" i="542"/>
  <c r="S93" i="542"/>
  <c r="S92" i="542"/>
  <c r="S91" i="542"/>
  <c r="S90" i="542"/>
  <c r="S89" i="542"/>
  <c r="S88" i="542"/>
  <c r="S87" i="542"/>
  <c r="S86" i="542"/>
  <c r="S85" i="542"/>
  <c r="S84" i="542"/>
  <c r="S83" i="542"/>
  <c r="S82" i="542"/>
  <c r="D82" i="542"/>
  <c r="S81" i="542"/>
  <c r="D81" i="542"/>
  <c r="S80" i="542"/>
  <c r="D80" i="542"/>
  <c r="S79" i="542"/>
  <c r="D79" i="542"/>
  <c r="S78" i="542"/>
  <c r="D78" i="542"/>
  <c r="S77" i="542"/>
  <c r="D77" i="542"/>
  <c r="S76" i="542"/>
  <c r="S75" i="542"/>
  <c r="S74" i="542"/>
  <c r="S73" i="542"/>
  <c r="S72" i="542"/>
  <c r="S70" i="542"/>
  <c r="S69" i="542"/>
  <c r="S68" i="542"/>
  <c r="S67" i="542"/>
  <c r="S66" i="542"/>
  <c r="S65" i="542"/>
  <c r="S64" i="542"/>
  <c r="S63" i="542"/>
  <c r="S62" i="542"/>
  <c r="S61" i="542"/>
  <c r="S60" i="542"/>
  <c r="S59" i="542"/>
  <c r="S58" i="542"/>
  <c r="S57" i="542"/>
  <c r="S56" i="542"/>
  <c r="S55" i="542"/>
  <c r="S54" i="542"/>
  <c r="E54" i="542"/>
  <c r="C54" i="542"/>
  <c r="S53" i="542"/>
  <c r="E53" i="542"/>
  <c r="C53" i="542"/>
  <c r="S52" i="542"/>
  <c r="E52" i="542"/>
  <c r="C52" i="542"/>
  <c r="S51" i="542"/>
  <c r="E51" i="542"/>
  <c r="C51" i="542"/>
  <c r="S50" i="542"/>
  <c r="E50" i="542"/>
  <c r="C50" i="542"/>
  <c r="S49" i="542"/>
  <c r="E49" i="542"/>
  <c r="C49" i="542"/>
  <c r="S48" i="542"/>
  <c r="S47" i="542"/>
  <c r="S46" i="542"/>
  <c r="S45" i="542"/>
  <c r="R2" i="542"/>
  <c r="R44" i="542"/>
  <c r="Q2" i="542"/>
  <c r="Q44" i="542"/>
  <c r="P2" i="542"/>
  <c r="P44" i="542"/>
  <c r="O2" i="542"/>
  <c r="O44" i="542"/>
  <c r="N2" i="542"/>
  <c r="N44" i="542"/>
  <c r="M2" i="542"/>
  <c r="M44" i="542"/>
  <c r="L2" i="542"/>
  <c r="L44" i="542"/>
  <c r="K2" i="542"/>
  <c r="K44" i="542"/>
  <c r="J2" i="542"/>
  <c r="J44" i="542"/>
  <c r="I2" i="542"/>
  <c r="I44" i="542"/>
  <c r="H2" i="542"/>
  <c r="H44" i="542"/>
  <c r="G2" i="542"/>
  <c r="G44" i="542"/>
  <c r="A44" i="542"/>
  <c r="R7" i="542"/>
  <c r="Q7" i="542"/>
  <c r="P7" i="542"/>
  <c r="O7" i="542"/>
  <c r="N7" i="542"/>
  <c r="M7" i="542"/>
  <c r="L7" i="542"/>
  <c r="K7" i="542"/>
  <c r="J7" i="542"/>
  <c r="I7" i="542"/>
  <c r="H7" i="542"/>
  <c r="H1" i="542"/>
  <c r="I1" i="542"/>
  <c r="J1" i="542"/>
  <c r="K1" i="542"/>
  <c r="L1" i="542"/>
  <c r="M1" i="542"/>
  <c r="N1" i="542"/>
  <c r="O1" i="542"/>
  <c r="P1" i="542"/>
  <c r="Q1" i="542"/>
  <c r="R1" i="542"/>
  <c r="B74" i="541"/>
  <c r="B75" i="541"/>
  <c r="B76" i="541"/>
  <c r="B77" i="541"/>
  <c r="B78" i="541"/>
  <c r="B79" i="541"/>
  <c r="B80" i="541"/>
  <c r="B81" i="541"/>
  <c r="B82" i="541"/>
  <c r="B83" i="541"/>
  <c r="B84" i="541"/>
  <c r="B85" i="541"/>
  <c r="B86" i="541"/>
  <c r="B87" i="541"/>
  <c r="B88" i="541"/>
  <c r="B89" i="541"/>
  <c r="B90" i="541"/>
  <c r="B91" i="541"/>
  <c r="B92" i="541"/>
  <c r="B93" i="541"/>
  <c r="B94" i="541"/>
  <c r="B95" i="541"/>
  <c r="B96" i="541"/>
  <c r="B97" i="541"/>
  <c r="B98" i="541"/>
  <c r="B99" i="541"/>
  <c r="B100" i="541"/>
  <c r="B101" i="541"/>
  <c r="B102" i="541"/>
  <c r="B103" i="541"/>
  <c r="B104" i="541"/>
  <c r="B105" i="541"/>
  <c r="D205" i="541"/>
  <c r="B173" i="541"/>
  <c r="B174" i="541"/>
  <c r="B175" i="541"/>
  <c r="B176" i="541"/>
  <c r="B177" i="541"/>
  <c r="B178" i="541"/>
  <c r="B179" i="541"/>
  <c r="B180" i="541"/>
  <c r="B181" i="541"/>
  <c r="B182" i="541"/>
  <c r="B183" i="541"/>
  <c r="B184" i="541"/>
  <c r="B185" i="541"/>
  <c r="B186" i="541"/>
  <c r="B187" i="541"/>
  <c r="B188" i="541"/>
  <c r="B189" i="541"/>
  <c r="B190" i="541"/>
  <c r="B191" i="541"/>
  <c r="B192" i="541"/>
  <c r="B193" i="541"/>
  <c r="B194" i="541"/>
  <c r="B195" i="541"/>
  <c r="B196" i="541"/>
  <c r="B197" i="541"/>
  <c r="B198" i="541"/>
  <c r="B199" i="541"/>
  <c r="B200" i="541"/>
  <c r="B201" i="541"/>
  <c r="B202" i="541"/>
  <c r="B203" i="541"/>
  <c r="B204" i="541"/>
  <c r="B205" i="541"/>
  <c r="D204" i="541"/>
  <c r="R203" i="541"/>
  <c r="Q203" i="541"/>
  <c r="P203" i="541"/>
  <c r="O203" i="541"/>
  <c r="N203" i="541"/>
  <c r="M203" i="541"/>
  <c r="L203" i="541"/>
  <c r="K203" i="541"/>
  <c r="J203" i="541"/>
  <c r="I203" i="541"/>
  <c r="H203" i="541"/>
  <c r="G203" i="541"/>
  <c r="D203" i="541"/>
  <c r="R202" i="541"/>
  <c r="Q202" i="541"/>
  <c r="P202" i="541"/>
  <c r="O202" i="541"/>
  <c r="N202" i="541"/>
  <c r="M202" i="541"/>
  <c r="L202" i="541"/>
  <c r="K202" i="541"/>
  <c r="J202" i="541"/>
  <c r="I202" i="541"/>
  <c r="H202" i="541"/>
  <c r="G202" i="541"/>
  <c r="D202" i="541"/>
  <c r="D201" i="541"/>
  <c r="D200" i="541"/>
  <c r="D199" i="541"/>
  <c r="D198" i="541"/>
  <c r="D197" i="541"/>
  <c r="D196" i="541"/>
  <c r="H26" i="541"/>
  <c r="I26" i="541"/>
  <c r="J26" i="541"/>
  <c r="K26" i="541"/>
  <c r="L26" i="541"/>
  <c r="M26" i="541"/>
  <c r="N26" i="541"/>
  <c r="O26" i="541"/>
  <c r="P26" i="541"/>
  <c r="Q26" i="541"/>
  <c r="R26" i="541"/>
  <c r="D195" i="541"/>
  <c r="D194" i="541"/>
  <c r="D193" i="541"/>
  <c r="R64" i="541"/>
  <c r="R102" i="541"/>
  <c r="R90" i="541"/>
  <c r="R91" i="541"/>
  <c r="Q64" i="541"/>
  <c r="Q102" i="541"/>
  <c r="Q90" i="541"/>
  <c r="Q91" i="541"/>
  <c r="P64" i="541"/>
  <c r="P102" i="541"/>
  <c r="P90" i="541"/>
  <c r="P91" i="541"/>
  <c r="O64" i="541"/>
  <c r="O102" i="541"/>
  <c r="O90" i="541"/>
  <c r="O91" i="541"/>
  <c r="N64" i="541"/>
  <c r="N102" i="541"/>
  <c r="N90" i="541"/>
  <c r="N91" i="541"/>
  <c r="M64" i="541"/>
  <c r="M102" i="541"/>
  <c r="M90" i="541"/>
  <c r="M91" i="541"/>
  <c r="L64" i="541"/>
  <c r="L102" i="541"/>
  <c r="L90" i="541"/>
  <c r="L91" i="541"/>
  <c r="K64" i="541"/>
  <c r="K102" i="541"/>
  <c r="K90" i="541"/>
  <c r="K91" i="541"/>
  <c r="J64" i="541"/>
  <c r="J102" i="541"/>
  <c r="J90" i="541"/>
  <c r="J91" i="541"/>
  <c r="I64" i="541"/>
  <c r="I102" i="541"/>
  <c r="I90" i="541"/>
  <c r="I91" i="541"/>
  <c r="H64" i="541"/>
  <c r="H102" i="541"/>
  <c r="H90" i="541"/>
  <c r="H91" i="541"/>
  <c r="G102" i="541"/>
  <c r="G90" i="541"/>
  <c r="G91" i="541"/>
  <c r="D192" i="541"/>
  <c r="D191" i="541"/>
  <c r="D190" i="541"/>
  <c r="D189" i="541"/>
  <c r="R188" i="541"/>
  <c r="Q188" i="541"/>
  <c r="P188" i="541"/>
  <c r="O188" i="541"/>
  <c r="N188" i="541"/>
  <c r="M188" i="541"/>
  <c r="L188" i="541"/>
  <c r="K188" i="541"/>
  <c r="J188" i="541"/>
  <c r="I188" i="541"/>
  <c r="H188" i="541"/>
  <c r="G188" i="541"/>
  <c r="D188" i="541"/>
  <c r="R187" i="541"/>
  <c r="Q187" i="541"/>
  <c r="P187" i="541"/>
  <c r="O187" i="541"/>
  <c r="N187" i="541"/>
  <c r="M187" i="541"/>
  <c r="L187" i="541"/>
  <c r="K187" i="541"/>
  <c r="J187" i="541"/>
  <c r="I187" i="541"/>
  <c r="H187" i="541"/>
  <c r="G187" i="541"/>
  <c r="D187" i="541"/>
  <c r="D186" i="541"/>
  <c r="R185" i="541"/>
  <c r="Q185" i="541"/>
  <c r="P185" i="541"/>
  <c r="O185" i="541"/>
  <c r="N185" i="541"/>
  <c r="M185" i="541"/>
  <c r="L185" i="541"/>
  <c r="K185" i="541"/>
  <c r="J185" i="541"/>
  <c r="I185" i="541"/>
  <c r="H185" i="541"/>
  <c r="G185" i="541"/>
  <c r="D185" i="541"/>
  <c r="R184" i="541"/>
  <c r="Q184" i="541"/>
  <c r="P184" i="541"/>
  <c r="O184" i="541"/>
  <c r="N184" i="541"/>
  <c r="M184" i="541"/>
  <c r="L184" i="541"/>
  <c r="K184" i="541"/>
  <c r="J184" i="541"/>
  <c r="I184" i="541"/>
  <c r="H184" i="541"/>
  <c r="G184" i="541"/>
  <c r="D184" i="541"/>
  <c r="R183" i="541"/>
  <c r="Q183" i="541"/>
  <c r="P183" i="541"/>
  <c r="O183" i="541"/>
  <c r="N183" i="541"/>
  <c r="M183" i="541"/>
  <c r="L183" i="541"/>
  <c r="K183" i="541"/>
  <c r="J183" i="541"/>
  <c r="I183" i="541"/>
  <c r="H183" i="541"/>
  <c r="G183" i="541"/>
  <c r="D183" i="541"/>
  <c r="R182" i="541"/>
  <c r="Q182" i="541"/>
  <c r="P182" i="541"/>
  <c r="O182" i="541"/>
  <c r="N182" i="541"/>
  <c r="M182" i="541"/>
  <c r="L182" i="541"/>
  <c r="K182" i="541"/>
  <c r="J182" i="541"/>
  <c r="I182" i="541"/>
  <c r="H182" i="541"/>
  <c r="G182" i="541"/>
  <c r="D182" i="541"/>
  <c r="R181" i="541"/>
  <c r="Q181" i="541"/>
  <c r="P181" i="541"/>
  <c r="O181" i="541"/>
  <c r="N181" i="541"/>
  <c r="M181" i="541"/>
  <c r="L181" i="541"/>
  <c r="K181" i="541"/>
  <c r="J181" i="541"/>
  <c r="I181" i="541"/>
  <c r="H181" i="541"/>
  <c r="G181" i="541"/>
  <c r="D181" i="541"/>
  <c r="R180" i="541"/>
  <c r="Q180" i="541"/>
  <c r="P180" i="541"/>
  <c r="O180" i="541"/>
  <c r="N180" i="541"/>
  <c r="M180" i="541"/>
  <c r="L180" i="541"/>
  <c r="K180" i="541"/>
  <c r="J180" i="541"/>
  <c r="I180" i="541"/>
  <c r="H180" i="541"/>
  <c r="G180" i="541"/>
  <c r="D180" i="541"/>
  <c r="R179" i="541"/>
  <c r="Q179" i="541"/>
  <c r="P179" i="541"/>
  <c r="O179" i="541"/>
  <c r="N179" i="541"/>
  <c r="M179" i="541"/>
  <c r="L179" i="541"/>
  <c r="K179" i="541"/>
  <c r="J179" i="541"/>
  <c r="I179" i="541"/>
  <c r="H179" i="541"/>
  <c r="G179" i="541"/>
  <c r="D179" i="541"/>
  <c r="R178" i="541"/>
  <c r="Q178" i="541"/>
  <c r="P178" i="541"/>
  <c r="O178" i="541"/>
  <c r="N178" i="541"/>
  <c r="M178" i="541"/>
  <c r="L178" i="541"/>
  <c r="K178" i="541"/>
  <c r="J178" i="541"/>
  <c r="I178" i="541"/>
  <c r="H178" i="541"/>
  <c r="G178" i="541"/>
  <c r="D178" i="541"/>
  <c r="R177" i="541"/>
  <c r="Q177" i="541"/>
  <c r="P177" i="541"/>
  <c r="O177" i="541"/>
  <c r="N177" i="541"/>
  <c r="M177" i="541"/>
  <c r="L177" i="541"/>
  <c r="K177" i="541"/>
  <c r="J177" i="541"/>
  <c r="I177" i="541"/>
  <c r="H177" i="541"/>
  <c r="G177" i="541"/>
  <c r="D177" i="541"/>
  <c r="R176" i="541"/>
  <c r="Q176" i="541"/>
  <c r="P176" i="541"/>
  <c r="O176" i="541"/>
  <c r="N176" i="541"/>
  <c r="M176" i="541"/>
  <c r="L176" i="541"/>
  <c r="K176" i="541"/>
  <c r="J176" i="541"/>
  <c r="I176" i="541"/>
  <c r="H176" i="541"/>
  <c r="G176" i="541"/>
  <c r="D176" i="541"/>
  <c r="R175" i="541"/>
  <c r="Q175" i="541"/>
  <c r="P175" i="541"/>
  <c r="O175" i="541"/>
  <c r="N175" i="541"/>
  <c r="M175" i="541"/>
  <c r="L175" i="541"/>
  <c r="K175" i="541"/>
  <c r="J175" i="541"/>
  <c r="I175" i="541"/>
  <c r="H175" i="541"/>
  <c r="G175" i="541"/>
  <c r="D175" i="541"/>
  <c r="R174" i="541"/>
  <c r="Q174" i="541"/>
  <c r="P174" i="541"/>
  <c r="O174" i="541"/>
  <c r="N174" i="541"/>
  <c r="M174" i="541"/>
  <c r="L174" i="541"/>
  <c r="K174" i="541"/>
  <c r="J174" i="541"/>
  <c r="I174" i="541"/>
  <c r="H174" i="541"/>
  <c r="G174" i="541"/>
  <c r="D174" i="541"/>
  <c r="D173" i="541"/>
  <c r="G64" i="541"/>
  <c r="R172" i="541"/>
  <c r="Q172" i="541"/>
  <c r="P172" i="541"/>
  <c r="O172" i="541"/>
  <c r="N172" i="541"/>
  <c r="M172" i="541"/>
  <c r="L172" i="541"/>
  <c r="K172" i="541"/>
  <c r="J172" i="541"/>
  <c r="I172" i="541"/>
  <c r="H172" i="541"/>
  <c r="G172" i="541"/>
  <c r="R170" i="541"/>
  <c r="Q170" i="541"/>
  <c r="P170" i="541"/>
  <c r="O170" i="541"/>
  <c r="N170" i="541"/>
  <c r="M170" i="541"/>
  <c r="L170" i="541"/>
  <c r="K170" i="541"/>
  <c r="J170" i="541"/>
  <c r="I170" i="541"/>
  <c r="H170" i="541"/>
  <c r="G170" i="541"/>
  <c r="D170" i="541"/>
  <c r="R169" i="541"/>
  <c r="Q169" i="541"/>
  <c r="P169" i="541"/>
  <c r="O169" i="541"/>
  <c r="N169" i="541"/>
  <c r="M169" i="541"/>
  <c r="L169" i="541"/>
  <c r="K169" i="541"/>
  <c r="J169" i="541"/>
  <c r="I169" i="541"/>
  <c r="H169" i="541"/>
  <c r="G169" i="541"/>
  <c r="D169" i="541"/>
  <c r="R168" i="541"/>
  <c r="Q168" i="541"/>
  <c r="P168" i="541"/>
  <c r="O168" i="541"/>
  <c r="N168" i="541"/>
  <c r="M168" i="541"/>
  <c r="L168" i="541"/>
  <c r="K168" i="541"/>
  <c r="J168" i="541"/>
  <c r="I168" i="541"/>
  <c r="H168" i="541"/>
  <c r="G168" i="541"/>
  <c r="D168" i="541"/>
  <c r="D167" i="541"/>
  <c r="R166" i="541"/>
  <c r="Q166" i="541"/>
  <c r="P166" i="541"/>
  <c r="O166" i="541"/>
  <c r="N166" i="541"/>
  <c r="M166" i="541"/>
  <c r="L166" i="541"/>
  <c r="K166" i="541"/>
  <c r="J166" i="541"/>
  <c r="I166" i="541"/>
  <c r="H166" i="541"/>
  <c r="G166" i="541"/>
  <c r="D166" i="541"/>
  <c r="R165" i="541"/>
  <c r="Q165" i="541"/>
  <c r="P165" i="541"/>
  <c r="O165" i="541"/>
  <c r="N165" i="541"/>
  <c r="M165" i="541"/>
  <c r="L165" i="541"/>
  <c r="K165" i="541"/>
  <c r="J165" i="541"/>
  <c r="I165" i="541"/>
  <c r="H165" i="541"/>
  <c r="G165" i="541"/>
  <c r="D165" i="541"/>
  <c r="R164" i="541"/>
  <c r="Q164" i="541"/>
  <c r="P164" i="541"/>
  <c r="O164" i="541"/>
  <c r="N164" i="541"/>
  <c r="M164" i="541"/>
  <c r="L164" i="541"/>
  <c r="K164" i="541"/>
  <c r="J164" i="541"/>
  <c r="I164" i="541"/>
  <c r="H164" i="541"/>
  <c r="G164" i="541"/>
  <c r="D164" i="541"/>
  <c r="R163" i="541"/>
  <c r="Q163" i="541"/>
  <c r="P163" i="541"/>
  <c r="O163" i="541"/>
  <c r="N163" i="541"/>
  <c r="M163" i="541"/>
  <c r="L163" i="541"/>
  <c r="K163" i="541"/>
  <c r="J163" i="541"/>
  <c r="I163" i="541"/>
  <c r="H163" i="541"/>
  <c r="G163" i="541"/>
  <c r="D163" i="541"/>
  <c r="D162" i="541"/>
  <c r="R161" i="541"/>
  <c r="Q161" i="541"/>
  <c r="P161" i="541"/>
  <c r="O161" i="541"/>
  <c r="N161" i="541"/>
  <c r="M161" i="541"/>
  <c r="L161" i="541"/>
  <c r="K161" i="541"/>
  <c r="J161" i="541"/>
  <c r="I161" i="541"/>
  <c r="H161" i="541"/>
  <c r="G161" i="541"/>
  <c r="D161" i="541"/>
  <c r="R160" i="541"/>
  <c r="Q160" i="541"/>
  <c r="P160" i="541"/>
  <c r="O160" i="541"/>
  <c r="N160" i="541"/>
  <c r="M160" i="541"/>
  <c r="L160" i="541"/>
  <c r="K160" i="541"/>
  <c r="J160" i="541"/>
  <c r="I160" i="541"/>
  <c r="H160" i="541"/>
  <c r="G160" i="541"/>
  <c r="D160" i="541"/>
  <c r="R159" i="541"/>
  <c r="Q159" i="541"/>
  <c r="P159" i="541"/>
  <c r="O159" i="541"/>
  <c r="N159" i="541"/>
  <c r="M159" i="541"/>
  <c r="L159" i="541"/>
  <c r="K159" i="541"/>
  <c r="J159" i="541"/>
  <c r="I159" i="541"/>
  <c r="H159" i="541"/>
  <c r="G159" i="541"/>
  <c r="D159" i="541"/>
  <c r="R158" i="541"/>
  <c r="Q158" i="541"/>
  <c r="P158" i="541"/>
  <c r="O158" i="541"/>
  <c r="N158" i="541"/>
  <c r="M158" i="541"/>
  <c r="L158" i="541"/>
  <c r="K158" i="541"/>
  <c r="J158" i="541"/>
  <c r="I158" i="541"/>
  <c r="H158" i="541"/>
  <c r="G158" i="541"/>
  <c r="D158" i="541"/>
  <c r="R157" i="541"/>
  <c r="Q157" i="541"/>
  <c r="P157" i="541"/>
  <c r="O157" i="541"/>
  <c r="N157" i="541"/>
  <c r="M157" i="541"/>
  <c r="L157" i="541"/>
  <c r="K157" i="541"/>
  <c r="J157" i="541"/>
  <c r="I157" i="541"/>
  <c r="H157" i="541"/>
  <c r="G157" i="541"/>
  <c r="D157" i="541"/>
  <c r="R156" i="541"/>
  <c r="Q156" i="541"/>
  <c r="P156" i="541"/>
  <c r="O156" i="541"/>
  <c r="N156" i="541"/>
  <c r="M156" i="541"/>
  <c r="L156" i="541"/>
  <c r="K156" i="541"/>
  <c r="J156" i="541"/>
  <c r="I156" i="541"/>
  <c r="H156" i="541"/>
  <c r="G156" i="541"/>
  <c r="D156" i="541"/>
  <c r="R155" i="541"/>
  <c r="Q155" i="541"/>
  <c r="P155" i="541"/>
  <c r="O155" i="541"/>
  <c r="N155" i="541"/>
  <c r="M155" i="541"/>
  <c r="L155" i="541"/>
  <c r="K155" i="541"/>
  <c r="J155" i="541"/>
  <c r="I155" i="541"/>
  <c r="H155" i="541"/>
  <c r="G155" i="541"/>
  <c r="D155" i="541"/>
  <c r="R154" i="541"/>
  <c r="Q154" i="541"/>
  <c r="P154" i="541"/>
  <c r="O154" i="541"/>
  <c r="N154" i="541"/>
  <c r="M154" i="541"/>
  <c r="L154" i="541"/>
  <c r="K154" i="541"/>
  <c r="J154" i="541"/>
  <c r="I154" i="541"/>
  <c r="H154" i="541"/>
  <c r="G154" i="541"/>
  <c r="D154" i="541"/>
  <c r="R153" i="541"/>
  <c r="Q153" i="541"/>
  <c r="P153" i="541"/>
  <c r="O153" i="541"/>
  <c r="N153" i="541"/>
  <c r="M153" i="541"/>
  <c r="L153" i="541"/>
  <c r="K153" i="541"/>
  <c r="J153" i="541"/>
  <c r="I153" i="541"/>
  <c r="H153" i="541"/>
  <c r="G153" i="541"/>
  <c r="D153" i="541"/>
  <c r="R152" i="541"/>
  <c r="Q152" i="541"/>
  <c r="P152" i="541"/>
  <c r="O152" i="541"/>
  <c r="N152" i="541"/>
  <c r="M152" i="541"/>
  <c r="L152" i="541"/>
  <c r="K152" i="541"/>
  <c r="J152" i="541"/>
  <c r="I152" i="541"/>
  <c r="H152" i="541"/>
  <c r="G152" i="541"/>
  <c r="D152" i="541"/>
  <c r="R151" i="541"/>
  <c r="Q151" i="541"/>
  <c r="P151" i="541"/>
  <c r="O151" i="541"/>
  <c r="N151" i="541"/>
  <c r="M151" i="541"/>
  <c r="L151" i="541"/>
  <c r="K151" i="541"/>
  <c r="J151" i="541"/>
  <c r="I151" i="541"/>
  <c r="H151" i="541"/>
  <c r="G151" i="541"/>
  <c r="D151" i="541"/>
  <c r="G150" i="541"/>
  <c r="D150" i="541"/>
  <c r="G149" i="541"/>
  <c r="D149" i="541"/>
  <c r="G148" i="541"/>
  <c r="D148" i="541"/>
  <c r="N143" i="541"/>
  <c r="M143" i="541"/>
  <c r="L143" i="541"/>
  <c r="K143" i="541"/>
  <c r="J143" i="541"/>
  <c r="I143" i="541"/>
  <c r="H143" i="541"/>
  <c r="G143" i="541"/>
  <c r="G147" i="541"/>
  <c r="D147" i="541"/>
  <c r="G146" i="541"/>
  <c r="D146" i="541"/>
  <c r="R145" i="541"/>
  <c r="Q145" i="541"/>
  <c r="P145" i="541"/>
  <c r="O145" i="541"/>
  <c r="N145" i="541"/>
  <c r="M145" i="541"/>
  <c r="L145" i="541"/>
  <c r="K145" i="541"/>
  <c r="J145" i="541"/>
  <c r="I145" i="541"/>
  <c r="H145" i="541"/>
  <c r="G145" i="541"/>
  <c r="D145" i="541"/>
  <c r="R143" i="541"/>
  <c r="Q143" i="541"/>
  <c r="P143" i="541"/>
  <c r="O143" i="541"/>
  <c r="R142" i="541"/>
  <c r="Q142" i="541"/>
  <c r="P142" i="541"/>
  <c r="O142" i="541"/>
  <c r="N142" i="541"/>
  <c r="M142" i="541"/>
  <c r="L142" i="541"/>
  <c r="K142" i="541"/>
  <c r="J142" i="541"/>
  <c r="I142" i="541"/>
  <c r="H142" i="541"/>
  <c r="G142" i="541"/>
  <c r="R109" i="541"/>
  <c r="R141" i="541"/>
  <c r="Q109" i="541"/>
  <c r="Q141" i="541"/>
  <c r="P109" i="541"/>
  <c r="P141" i="541"/>
  <c r="O109" i="541"/>
  <c r="O141" i="541"/>
  <c r="N109" i="541"/>
  <c r="N141" i="541"/>
  <c r="M109" i="541"/>
  <c r="M141" i="541"/>
  <c r="L109" i="541"/>
  <c r="L141" i="541"/>
  <c r="K109" i="541"/>
  <c r="K141" i="541"/>
  <c r="J109" i="541"/>
  <c r="J141" i="541"/>
  <c r="I109" i="541"/>
  <c r="I141" i="541"/>
  <c r="H109" i="541"/>
  <c r="H141" i="541"/>
  <c r="G109" i="541"/>
  <c r="G141" i="541"/>
  <c r="R139" i="541"/>
  <c r="Q139" i="541"/>
  <c r="P139" i="541"/>
  <c r="O139" i="541"/>
  <c r="N139" i="541"/>
  <c r="M139" i="541"/>
  <c r="L139" i="541"/>
  <c r="K139" i="541"/>
  <c r="J139" i="541"/>
  <c r="I139" i="541"/>
  <c r="H139" i="541"/>
  <c r="G139" i="541"/>
  <c r="G121" i="541"/>
  <c r="G122" i="541"/>
  <c r="G123" i="541"/>
  <c r="I123" i="541"/>
  <c r="I124" i="541"/>
  <c r="H123" i="541"/>
  <c r="H124" i="541"/>
  <c r="G124" i="541"/>
  <c r="I122" i="541"/>
  <c r="B106" i="541"/>
  <c r="B107" i="541"/>
  <c r="B108" i="541"/>
  <c r="B109" i="541"/>
  <c r="B110" i="541"/>
  <c r="B111" i="541"/>
  <c r="B112" i="541"/>
  <c r="B113" i="541"/>
  <c r="S107" i="541"/>
  <c r="S106" i="541"/>
  <c r="G65" i="541"/>
  <c r="G66" i="541"/>
  <c r="G67" i="541"/>
  <c r="G73" i="541"/>
  <c r="G92" i="541"/>
  <c r="G93" i="541"/>
  <c r="G94" i="541"/>
  <c r="G95" i="541"/>
  <c r="G104" i="541"/>
  <c r="G105" i="541"/>
  <c r="H65" i="541"/>
  <c r="H66" i="541"/>
  <c r="H67" i="541"/>
  <c r="H73" i="541"/>
  <c r="H92" i="541"/>
  <c r="H93" i="541"/>
  <c r="H27" i="541"/>
  <c r="H94" i="541"/>
  <c r="H95" i="541"/>
  <c r="H104" i="541"/>
  <c r="H105" i="541"/>
  <c r="I65" i="541"/>
  <c r="I66" i="541"/>
  <c r="I67" i="541"/>
  <c r="I73" i="541"/>
  <c r="I92" i="541"/>
  <c r="I93" i="541"/>
  <c r="I27" i="541"/>
  <c r="I94" i="541"/>
  <c r="I95" i="541"/>
  <c r="I104" i="541"/>
  <c r="I105" i="541"/>
  <c r="J65" i="541"/>
  <c r="J66" i="541"/>
  <c r="J67" i="541"/>
  <c r="J73" i="541"/>
  <c r="J92" i="541"/>
  <c r="J93" i="541"/>
  <c r="J27" i="541"/>
  <c r="J94" i="541"/>
  <c r="J95" i="541"/>
  <c r="J104" i="541"/>
  <c r="J105" i="541"/>
  <c r="K65" i="541"/>
  <c r="K66" i="541"/>
  <c r="K67" i="541"/>
  <c r="K73" i="541"/>
  <c r="K92" i="541"/>
  <c r="K93" i="541"/>
  <c r="K27" i="541"/>
  <c r="K94" i="541"/>
  <c r="K95" i="541"/>
  <c r="K104" i="541"/>
  <c r="K105" i="541"/>
  <c r="L65" i="541"/>
  <c r="L66" i="541"/>
  <c r="L67" i="541"/>
  <c r="L73" i="541"/>
  <c r="L92" i="541"/>
  <c r="L93" i="541"/>
  <c r="L27" i="541"/>
  <c r="L94" i="541"/>
  <c r="L95" i="541"/>
  <c r="L104" i="541"/>
  <c r="L105" i="541"/>
  <c r="M65" i="541"/>
  <c r="M66" i="541"/>
  <c r="M67" i="541"/>
  <c r="M73" i="541"/>
  <c r="M92" i="541"/>
  <c r="M93" i="541"/>
  <c r="M27" i="541"/>
  <c r="M94" i="541"/>
  <c r="M95" i="541"/>
  <c r="M104" i="541"/>
  <c r="M105" i="541"/>
  <c r="N65" i="541"/>
  <c r="N66" i="541"/>
  <c r="N67" i="541"/>
  <c r="N73" i="541"/>
  <c r="N92" i="541"/>
  <c r="N93" i="541"/>
  <c r="N27" i="541"/>
  <c r="N94" i="541"/>
  <c r="N95" i="541"/>
  <c r="N104" i="541"/>
  <c r="N105" i="541"/>
  <c r="O65" i="541"/>
  <c r="O66" i="541"/>
  <c r="O67" i="541"/>
  <c r="O73" i="541"/>
  <c r="O92" i="541"/>
  <c r="O93" i="541"/>
  <c r="O27" i="541"/>
  <c r="O94" i="541"/>
  <c r="O95" i="541"/>
  <c r="O104" i="541"/>
  <c r="O105" i="541"/>
  <c r="P65" i="541"/>
  <c r="P66" i="541"/>
  <c r="P67" i="541"/>
  <c r="P73" i="541"/>
  <c r="P92" i="541"/>
  <c r="P93" i="541"/>
  <c r="P27" i="541"/>
  <c r="P94" i="541"/>
  <c r="P95" i="541"/>
  <c r="P104" i="541"/>
  <c r="P105" i="541"/>
  <c r="Q65" i="541"/>
  <c r="Q66" i="541"/>
  <c r="Q67" i="541"/>
  <c r="Q73" i="541"/>
  <c r="Q92" i="541"/>
  <c r="Q93" i="541"/>
  <c r="Q27" i="541"/>
  <c r="Q94" i="541"/>
  <c r="Q95" i="541"/>
  <c r="Q104" i="541"/>
  <c r="Q105" i="541"/>
  <c r="R65" i="541"/>
  <c r="R66" i="541"/>
  <c r="R67" i="541"/>
  <c r="R73" i="541"/>
  <c r="R92" i="541"/>
  <c r="R93" i="541"/>
  <c r="R27" i="541"/>
  <c r="R94" i="541"/>
  <c r="R95" i="541"/>
  <c r="R104" i="541"/>
  <c r="R105" i="541"/>
  <c r="S105" i="541"/>
  <c r="S104" i="541"/>
  <c r="G103" i="541"/>
  <c r="H103" i="541"/>
  <c r="I103" i="541"/>
  <c r="J103" i="541"/>
  <c r="K103" i="541"/>
  <c r="L103" i="541"/>
  <c r="M103" i="541"/>
  <c r="N103" i="541"/>
  <c r="O103" i="541"/>
  <c r="P103" i="541"/>
  <c r="Q103" i="541"/>
  <c r="R103" i="541"/>
  <c r="S103" i="541"/>
  <c r="S102" i="541"/>
  <c r="G98" i="541"/>
  <c r="G99" i="541"/>
  <c r="G101" i="541"/>
  <c r="H98" i="541"/>
  <c r="H99" i="541"/>
  <c r="H101" i="541"/>
  <c r="I98" i="541"/>
  <c r="I99" i="541"/>
  <c r="I101" i="541"/>
  <c r="J98" i="541"/>
  <c r="J99" i="541"/>
  <c r="J101" i="541"/>
  <c r="K98" i="541"/>
  <c r="K99" i="541"/>
  <c r="K101" i="541"/>
  <c r="L98" i="541"/>
  <c r="L99" i="541"/>
  <c r="L101" i="541"/>
  <c r="M98" i="541"/>
  <c r="M99" i="541"/>
  <c r="M101" i="541"/>
  <c r="N98" i="541"/>
  <c r="N99" i="541"/>
  <c r="N101" i="541"/>
  <c r="O98" i="541"/>
  <c r="O99" i="541"/>
  <c r="O101" i="541"/>
  <c r="P98" i="541"/>
  <c r="P99" i="541"/>
  <c r="P101" i="541"/>
  <c r="Q98" i="541"/>
  <c r="Q99" i="541"/>
  <c r="Q101" i="541"/>
  <c r="R98" i="541"/>
  <c r="R99" i="541"/>
  <c r="R101" i="541"/>
  <c r="S101" i="541"/>
  <c r="G100" i="541"/>
  <c r="H100" i="541"/>
  <c r="I100" i="541"/>
  <c r="J100" i="541"/>
  <c r="K100" i="541"/>
  <c r="L100" i="541"/>
  <c r="M100" i="541"/>
  <c r="N100" i="541"/>
  <c r="O100" i="541"/>
  <c r="P100" i="541"/>
  <c r="Q100" i="541"/>
  <c r="R100" i="541"/>
  <c r="S100" i="541"/>
  <c r="S99" i="541"/>
  <c r="S98" i="541"/>
  <c r="S97" i="541"/>
  <c r="S95" i="541"/>
  <c r="S93" i="541"/>
  <c r="S92" i="541"/>
  <c r="S91" i="541"/>
  <c r="S90" i="541"/>
  <c r="S89" i="541"/>
  <c r="S88" i="541"/>
  <c r="S87" i="541"/>
  <c r="S86" i="541"/>
  <c r="S85" i="541"/>
  <c r="S84" i="541"/>
  <c r="S83" i="541"/>
  <c r="S82" i="541"/>
  <c r="D82" i="541"/>
  <c r="S81" i="541"/>
  <c r="D81" i="541"/>
  <c r="S80" i="541"/>
  <c r="D80" i="541"/>
  <c r="S79" i="541"/>
  <c r="D79" i="541"/>
  <c r="S78" i="541"/>
  <c r="D78" i="541"/>
  <c r="S77" i="541"/>
  <c r="D77" i="541"/>
  <c r="S76" i="541"/>
  <c r="S75" i="541"/>
  <c r="S74" i="541"/>
  <c r="S73" i="541"/>
  <c r="S72" i="541"/>
  <c r="S70" i="541"/>
  <c r="S69" i="541"/>
  <c r="S68" i="541"/>
  <c r="S67" i="541"/>
  <c r="S66" i="541"/>
  <c r="S65" i="541"/>
  <c r="S64" i="541"/>
  <c r="S63" i="541"/>
  <c r="S62" i="541"/>
  <c r="S61" i="541"/>
  <c r="S60" i="541"/>
  <c r="S59" i="541"/>
  <c r="S58" i="541"/>
  <c r="S57" i="541"/>
  <c r="S56" i="541"/>
  <c r="S55" i="541"/>
  <c r="S54" i="541"/>
  <c r="E54" i="541"/>
  <c r="C54" i="541"/>
  <c r="S53" i="541"/>
  <c r="E53" i="541"/>
  <c r="C53" i="541"/>
  <c r="S52" i="541"/>
  <c r="E52" i="541"/>
  <c r="C52" i="541"/>
  <c r="S51" i="541"/>
  <c r="E51" i="541"/>
  <c r="C51" i="541"/>
  <c r="S50" i="541"/>
  <c r="E50" i="541"/>
  <c r="C50" i="541"/>
  <c r="S49" i="541"/>
  <c r="E49" i="541"/>
  <c r="C49" i="541"/>
  <c r="S48" i="541"/>
  <c r="S47" i="541"/>
  <c r="S46" i="541"/>
  <c r="S45" i="541"/>
  <c r="R2" i="541"/>
  <c r="R44" i="541"/>
  <c r="Q2" i="541"/>
  <c r="Q44" i="541"/>
  <c r="P2" i="541"/>
  <c r="P44" i="541"/>
  <c r="O2" i="541"/>
  <c r="O44" i="541"/>
  <c r="N2" i="541"/>
  <c r="N44" i="541"/>
  <c r="M2" i="541"/>
  <c r="M44" i="541"/>
  <c r="L2" i="541"/>
  <c r="L44" i="541"/>
  <c r="K2" i="541"/>
  <c r="K44" i="541"/>
  <c r="J2" i="541"/>
  <c r="J44" i="541"/>
  <c r="I2" i="541"/>
  <c r="I44" i="541"/>
  <c r="H2" i="541"/>
  <c r="H44" i="541"/>
  <c r="G2" i="541"/>
  <c r="G44" i="541"/>
  <c r="A44" i="541"/>
  <c r="R7" i="541"/>
  <c r="Q7" i="541"/>
  <c r="P7" i="541"/>
  <c r="O7" i="541"/>
  <c r="N7" i="541"/>
  <c r="M7" i="541"/>
  <c r="L7" i="541"/>
  <c r="K7" i="541"/>
  <c r="J7" i="541"/>
  <c r="I7" i="541"/>
  <c r="H7" i="541"/>
  <c r="H1" i="541"/>
  <c r="I1" i="541"/>
  <c r="J1" i="541"/>
  <c r="K1" i="541"/>
  <c r="L1" i="541"/>
  <c r="M1" i="541"/>
  <c r="N1" i="541"/>
  <c r="O1" i="541"/>
  <c r="P1" i="541"/>
  <c r="Q1" i="541"/>
  <c r="R1" i="541"/>
  <c r="B74" i="540"/>
  <c r="B75" i="540"/>
  <c r="B76" i="540"/>
  <c r="B77" i="540"/>
  <c r="B78" i="540"/>
  <c r="B79" i="540"/>
  <c r="B80" i="540"/>
  <c r="B81" i="540"/>
  <c r="B82" i="540"/>
  <c r="B83" i="540"/>
  <c r="B84" i="540"/>
  <c r="B85" i="540"/>
  <c r="B86" i="540"/>
  <c r="B87" i="540"/>
  <c r="B88" i="540"/>
  <c r="B89" i="540"/>
  <c r="B90" i="540"/>
  <c r="B91" i="540"/>
  <c r="B92" i="540"/>
  <c r="B93" i="540"/>
  <c r="B94" i="540"/>
  <c r="B95" i="540"/>
  <c r="B96" i="540"/>
  <c r="B97" i="540"/>
  <c r="B98" i="540"/>
  <c r="B99" i="540"/>
  <c r="B100" i="540"/>
  <c r="B101" i="540"/>
  <c r="B102" i="540"/>
  <c r="B103" i="540"/>
  <c r="B104" i="540"/>
  <c r="B105" i="540"/>
  <c r="D205" i="540"/>
  <c r="B173" i="540"/>
  <c r="B174" i="540"/>
  <c r="B175" i="540"/>
  <c r="B176" i="540"/>
  <c r="B177" i="540"/>
  <c r="B178" i="540"/>
  <c r="B179" i="540"/>
  <c r="B180" i="540"/>
  <c r="B181" i="540"/>
  <c r="B182" i="540"/>
  <c r="B183" i="540"/>
  <c r="B184" i="540"/>
  <c r="B185" i="540"/>
  <c r="B186" i="540"/>
  <c r="B187" i="540"/>
  <c r="B188" i="540"/>
  <c r="B189" i="540"/>
  <c r="B190" i="540"/>
  <c r="B191" i="540"/>
  <c r="B192" i="540"/>
  <c r="B193" i="540"/>
  <c r="B194" i="540"/>
  <c r="B195" i="540"/>
  <c r="B196" i="540"/>
  <c r="B197" i="540"/>
  <c r="B198" i="540"/>
  <c r="B199" i="540"/>
  <c r="B200" i="540"/>
  <c r="B201" i="540"/>
  <c r="B202" i="540"/>
  <c r="B203" i="540"/>
  <c r="B204" i="540"/>
  <c r="B205" i="540"/>
  <c r="D204" i="540"/>
  <c r="R203" i="540"/>
  <c r="Q203" i="540"/>
  <c r="P203" i="540"/>
  <c r="O203" i="540"/>
  <c r="N203" i="540"/>
  <c r="M203" i="540"/>
  <c r="L203" i="540"/>
  <c r="K203" i="540"/>
  <c r="J203" i="540"/>
  <c r="I203" i="540"/>
  <c r="H203" i="540"/>
  <c r="G203" i="540"/>
  <c r="D203" i="540"/>
  <c r="R202" i="540"/>
  <c r="Q202" i="540"/>
  <c r="P202" i="540"/>
  <c r="O202" i="540"/>
  <c r="N202" i="540"/>
  <c r="M202" i="540"/>
  <c r="L202" i="540"/>
  <c r="K202" i="540"/>
  <c r="J202" i="540"/>
  <c r="I202" i="540"/>
  <c r="H202" i="540"/>
  <c r="G202" i="540"/>
  <c r="D202" i="540"/>
  <c r="D201" i="540"/>
  <c r="D200" i="540"/>
  <c r="D199" i="540"/>
  <c r="D198" i="540"/>
  <c r="D197" i="540"/>
  <c r="D196" i="540"/>
  <c r="H26" i="540"/>
  <c r="I26" i="540"/>
  <c r="J26" i="540"/>
  <c r="K26" i="540"/>
  <c r="L26" i="540"/>
  <c r="M26" i="540"/>
  <c r="N26" i="540"/>
  <c r="O26" i="540"/>
  <c r="P26" i="540"/>
  <c r="Q26" i="540"/>
  <c r="R26" i="540"/>
  <c r="D195" i="540"/>
  <c r="D194" i="540"/>
  <c r="D193" i="540"/>
  <c r="R64" i="540"/>
  <c r="R102" i="540"/>
  <c r="R90" i="540"/>
  <c r="R91" i="540"/>
  <c r="Q64" i="540"/>
  <c r="Q102" i="540"/>
  <c r="Q90" i="540"/>
  <c r="Q91" i="540"/>
  <c r="P64" i="540"/>
  <c r="P102" i="540"/>
  <c r="P90" i="540"/>
  <c r="P91" i="540"/>
  <c r="O64" i="540"/>
  <c r="O102" i="540"/>
  <c r="O90" i="540"/>
  <c r="O91" i="540"/>
  <c r="N64" i="540"/>
  <c r="N102" i="540"/>
  <c r="N90" i="540"/>
  <c r="N91" i="540"/>
  <c r="M64" i="540"/>
  <c r="M102" i="540"/>
  <c r="M90" i="540"/>
  <c r="M91" i="540"/>
  <c r="L64" i="540"/>
  <c r="L102" i="540"/>
  <c r="L90" i="540"/>
  <c r="L91" i="540"/>
  <c r="K64" i="540"/>
  <c r="K102" i="540"/>
  <c r="K90" i="540"/>
  <c r="K91" i="540"/>
  <c r="J64" i="540"/>
  <c r="J102" i="540"/>
  <c r="J90" i="540"/>
  <c r="J91" i="540"/>
  <c r="I64" i="540"/>
  <c r="I102" i="540"/>
  <c r="I90" i="540"/>
  <c r="I91" i="540"/>
  <c r="H64" i="540"/>
  <c r="H102" i="540"/>
  <c r="H90" i="540"/>
  <c r="H91" i="540"/>
  <c r="G102" i="540"/>
  <c r="G90" i="540"/>
  <c r="G91" i="540"/>
  <c r="D192" i="540"/>
  <c r="D191" i="540"/>
  <c r="D190" i="540"/>
  <c r="D189" i="540"/>
  <c r="R188" i="540"/>
  <c r="Q188" i="540"/>
  <c r="P188" i="540"/>
  <c r="O188" i="540"/>
  <c r="N188" i="540"/>
  <c r="M188" i="540"/>
  <c r="L188" i="540"/>
  <c r="K188" i="540"/>
  <c r="J188" i="540"/>
  <c r="I188" i="540"/>
  <c r="H188" i="540"/>
  <c r="G188" i="540"/>
  <c r="D188" i="540"/>
  <c r="R187" i="540"/>
  <c r="Q187" i="540"/>
  <c r="P187" i="540"/>
  <c r="O187" i="540"/>
  <c r="N187" i="540"/>
  <c r="M187" i="540"/>
  <c r="L187" i="540"/>
  <c r="K187" i="540"/>
  <c r="J187" i="540"/>
  <c r="I187" i="540"/>
  <c r="H187" i="540"/>
  <c r="G187" i="540"/>
  <c r="D187" i="540"/>
  <c r="D186" i="540"/>
  <c r="R185" i="540"/>
  <c r="Q185" i="540"/>
  <c r="P185" i="540"/>
  <c r="O185" i="540"/>
  <c r="N185" i="540"/>
  <c r="M185" i="540"/>
  <c r="L185" i="540"/>
  <c r="K185" i="540"/>
  <c r="J185" i="540"/>
  <c r="I185" i="540"/>
  <c r="H185" i="540"/>
  <c r="G185" i="540"/>
  <c r="D185" i="540"/>
  <c r="R184" i="540"/>
  <c r="Q184" i="540"/>
  <c r="P184" i="540"/>
  <c r="O184" i="540"/>
  <c r="N184" i="540"/>
  <c r="M184" i="540"/>
  <c r="L184" i="540"/>
  <c r="K184" i="540"/>
  <c r="J184" i="540"/>
  <c r="I184" i="540"/>
  <c r="H184" i="540"/>
  <c r="G184" i="540"/>
  <c r="D184" i="540"/>
  <c r="R183" i="540"/>
  <c r="Q183" i="540"/>
  <c r="P183" i="540"/>
  <c r="O183" i="540"/>
  <c r="N183" i="540"/>
  <c r="M183" i="540"/>
  <c r="L183" i="540"/>
  <c r="K183" i="540"/>
  <c r="J183" i="540"/>
  <c r="I183" i="540"/>
  <c r="H183" i="540"/>
  <c r="G183" i="540"/>
  <c r="D183" i="540"/>
  <c r="R182" i="540"/>
  <c r="Q182" i="540"/>
  <c r="P182" i="540"/>
  <c r="O182" i="540"/>
  <c r="N182" i="540"/>
  <c r="M182" i="540"/>
  <c r="L182" i="540"/>
  <c r="K182" i="540"/>
  <c r="J182" i="540"/>
  <c r="I182" i="540"/>
  <c r="H182" i="540"/>
  <c r="G182" i="540"/>
  <c r="D182" i="540"/>
  <c r="R181" i="540"/>
  <c r="Q181" i="540"/>
  <c r="P181" i="540"/>
  <c r="O181" i="540"/>
  <c r="N181" i="540"/>
  <c r="M181" i="540"/>
  <c r="L181" i="540"/>
  <c r="K181" i="540"/>
  <c r="J181" i="540"/>
  <c r="I181" i="540"/>
  <c r="H181" i="540"/>
  <c r="G181" i="540"/>
  <c r="D181" i="540"/>
  <c r="R180" i="540"/>
  <c r="Q180" i="540"/>
  <c r="P180" i="540"/>
  <c r="O180" i="540"/>
  <c r="N180" i="540"/>
  <c r="M180" i="540"/>
  <c r="L180" i="540"/>
  <c r="K180" i="540"/>
  <c r="J180" i="540"/>
  <c r="I180" i="540"/>
  <c r="H180" i="540"/>
  <c r="G180" i="540"/>
  <c r="D180" i="540"/>
  <c r="R179" i="540"/>
  <c r="Q179" i="540"/>
  <c r="P179" i="540"/>
  <c r="O179" i="540"/>
  <c r="N179" i="540"/>
  <c r="M179" i="540"/>
  <c r="L179" i="540"/>
  <c r="K179" i="540"/>
  <c r="J179" i="540"/>
  <c r="I179" i="540"/>
  <c r="H179" i="540"/>
  <c r="G179" i="540"/>
  <c r="D179" i="540"/>
  <c r="R178" i="540"/>
  <c r="Q178" i="540"/>
  <c r="P178" i="540"/>
  <c r="O178" i="540"/>
  <c r="N178" i="540"/>
  <c r="M178" i="540"/>
  <c r="L178" i="540"/>
  <c r="K178" i="540"/>
  <c r="J178" i="540"/>
  <c r="I178" i="540"/>
  <c r="H178" i="540"/>
  <c r="G178" i="540"/>
  <c r="D178" i="540"/>
  <c r="R177" i="540"/>
  <c r="Q177" i="540"/>
  <c r="P177" i="540"/>
  <c r="O177" i="540"/>
  <c r="N177" i="540"/>
  <c r="M177" i="540"/>
  <c r="L177" i="540"/>
  <c r="K177" i="540"/>
  <c r="J177" i="540"/>
  <c r="I177" i="540"/>
  <c r="H177" i="540"/>
  <c r="G177" i="540"/>
  <c r="D177" i="540"/>
  <c r="R176" i="540"/>
  <c r="Q176" i="540"/>
  <c r="P176" i="540"/>
  <c r="O176" i="540"/>
  <c r="N176" i="540"/>
  <c r="M176" i="540"/>
  <c r="L176" i="540"/>
  <c r="K176" i="540"/>
  <c r="J176" i="540"/>
  <c r="I176" i="540"/>
  <c r="H176" i="540"/>
  <c r="G176" i="540"/>
  <c r="D176" i="540"/>
  <c r="R175" i="540"/>
  <c r="Q175" i="540"/>
  <c r="P175" i="540"/>
  <c r="O175" i="540"/>
  <c r="N175" i="540"/>
  <c r="M175" i="540"/>
  <c r="L175" i="540"/>
  <c r="K175" i="540"/>
  <c r="J175" i="540"/>
  <c r="I175" i="540"/>
  <c r="H175" i="540"/>
  <c r="G175" i="540"/>
  <c r="D175" i="540"/>
  <c r="R174" i="540"/>
  <c r="Q174" i="540"/>
  <c r="P174" i="540"/>
  <c r="O174" i="540"/>
  <c r="N174" i="540"/>
  <c r="M174" i="540"/>
  <c r="L174" i="540"/>
  <c r="K174" i="540"/>
  <c r="J174" i="540"/>
  <c r="I174" i="540"/>
  <c r="H174" i="540"/>
  <c r="G174" i="540"/>
  <c r="D174" i="540"/>
  <c r="D173" i="540"/>
  <c r="G64" i="540"/>
  <c r="R172" i="540"/>
  <c r="Q172" i="540"/>
  <c r="P172" i="540"/>
  <c r="O172" i="540"/>
  <c r="N172" i="540"/>
  <c r="M172" i="540"/>
  <c r="L172" i="540"/>
  <c r="K172" i="540"/>
  <c r="J172" i="540"/>
  <c r="I172" i="540"/>
  <c r="H172" i="540"/>
  <c r="G172" i="540"/>
  <c r="R170" i="540"/>
  <c r="Q170" i="540"/>
  <c r="P170" i="540"/>
  <c r="O170" i="540"/>
  <c r="N170" i="540"/>
  <c r="M170" i="540"/>
  <c r="L170" i="540"/>
  <c r="K170" i="540"/>
  <c r="J170" i="540"/>
  <c r="I170" i="540"/>
  <c r="H170" i="540"/>
  <c r="G170" i="540"/>
  <c r="D170" i="540"/>
  <c r="R169" i="540"/>
  <c r="Q169" i="540"/>
  <c r="P169" i="540"/>
  <c r="O169" i="540"/>
  <c r="N169" i="540"/>
  <c r="M169" i="540"/>
  <c r="L169" i="540"/>
  <c r="K169" i="540"/>
  <c r="J169" i="540"/>
  <c r="I169" i="540"/>
  <c r="H169" i="540"/>
  <c r="G169" i="540"/>
  <c r="D169" i="540"/>
  <c r="R168" i="540"/>
  <c r="Q168" i="540"/>
  <c r="P168" i="540"/>
  <c r="O168" i="540"/>
  <c r="N168" i="540"/>
  <c r="M168" i="540"/>
  <c r="L168" i="540"/>
  <c r="K168" i="540"/>
  <c r="J168" i="540"/>
  <c r="I168" i="540"/>
  <c r="H168" i="540"/>
  <c r="G168" i="540"/>
  <c r="D168" i="540"/>
  <c r="D167" i="540"/>
  <c r="R166" i="540"/>
  <c r="Q166" i="540"/>
  <c r="P166" i="540"/>
  <c r="O166" i="540"/>
  <c r="N166" i="540"/>
  <c r="M166" i="540"/>
  <c r="L166" i="540"/>
  <c r="K166" i="540"/>
  <c r="J166" i="540"/>
  <c r="I166" i="540"/>
  <c r="H166" i="540"/>
  <c r="G166" i="540"/>
  <c r="D166" i="540"/>
  <c r="R165" i="540"/>
  <c r="Q165" i="540"/>
  <c r="P165" i="540"/>
  <c r="O165" i="540"/>
  <c r="N165" i="540"/>
  <c r="M165" i="540"/>
  <c r="L165" i="540"/>
  <c r="K165" i="540"/>
  <c r="J165" i="540"/>
  <c r="I165" i="540"/>
  <c r="H165" i="540"/>
  <c r="G165" i="540"/>
  <c r="D165" i="540"/>
  <c r="R164" i="540"/>
  <c r="Q164" i="540"/>
  <c r="P164" i="540"/>
  <c r="O164" i="540"/>
  <c r="N164" i="540"/>
  <c r="M164" i="540"/>
  <c r="L164" i="540"/>
  <c r="K164" i="540"/>
  <c r="J164" i="540"/>
  <c r="I164" i="540"/>
  <c r="H164" i="540"/>
  <c r="G164" i="540"/>
  <c r="D164" i="540"/>
  <c r="R163" i="540"/>
  <c r="Q163" i="540"/>
  <c r="P163" i="540"/>
  <c r="O163" i="540"/>
  <c r="N163" i="540"/>
  <c r="M163" i="540"/>
  <c r="L163" i="540"/>
  <c r="K163" i="540"/>
  <c r="J163" i="540"/>
  <c r="I163" i="540"/>
  <c r="H163" i="540"/>
  <c r="G163" i="540"/>
  <c r="D163" i="540"/>
  <c r="D162" i="540"/>
  <c r="R161" i="540"/>
  <c r="Q161" i="540"/>
  <c r="P161" i="540"/>
  <c r="O161" i="540"/>
  <c r="N161" i="540"/>
  <c r="M161" i="540"/>
  <c r="L161" i="540"/>
  <c r="K161" i="540"/>
  <c r="J161" i="540"/>
  <c r="I161" i="540"/>
  <c r="H161" i="540"/>
  <c r="G161" i="540"/>
  <c r="D161" i="540"/>
  <c r="R160" i="540"/>
  <c r="Q160" i="540"/>
  <c r="P160" i="540"/>
  <c r="O160" i="540"/>
  <c r="N160" i="540"/>
  <c r="M160" i="540"/>
  <c r="L160" i="540"/>
  <c r="K160" i="540"/>
  <c r="J160" i="540"/>
  <c r="I160" i="540"/>
  <c r="H160" i="540"/>
  <c r="G160" i="540"/>
  <c r="D160" i="540"/>
  <c r="R159" i="540"/>
  <c r="Q159" i="540"/>
  <c r="P159" i="540"/>
  <c r="O159" i="540"/>
  <c r="N159" i="540"/>
  <c r="M159" i="540"/>
  <c r="L159" i="540"/>
  <c r="K159" i="540"/>
  <c r="J159" i="540"/>
  <c r="I159" i="540"/>
  <c r="H159" i="540"/>
  <c r="G159" i="540"/>
  <c r="D159" i="540"/>
  <c r="R158" i="540"/>
  <c r="Q158" i="540"/>
  <c r="P158" i="540"/>
  <c r="O158" i="540"/>
  <c r="N158" i="540"/>
  <c r="M158" i="540"/>
  <c r="L158" i="540"/>
  <c r="K158" i="540"/>
  <c r="J158" i="540"/>
  <c r="I158" i="540"/>
  <c r="H158" i="540"/>
  <c r="G158" i="540"/>
  <c r="D158" i="540"/>
  <c r="R157" i="540"/>
  <c r="Q157" i="540"/>
  <c r="P157" i="540"/>
  <c r="O157" i="540"/>
  <c r="N157" i="540"/>
  <c r="M157" i="540"/>
  <c r="L157" i="540"/>
  <c r="K157" i="540"/>
  <c r="J157" i="540"/>
  <c r="I157" i="540"/>
  <c r="H157" i="540"/>
  <c r="G157" i="540"/>
  <c r="D157" i="540"/>
  <c r="R156" i="540"/>
  <c r="Q156" i="540"/>
  <c r="P156" i="540"/>
  <c r="O156" i="540"/>
  <c r="N156" i="540"/>
  <c r="M156" i="540"/>
  <c r="L156" i="540"/>
  <c r="K156" i="540"/>
  <c r="J156" i="540"/>
  <c r="I156" i="540"/>
  <c r="H156" i="540"/>
  <c r="G156" i="540"/>
  <c r="D156" i="540"/>
  <c r="R155" i="540"/>
  <c r="Q155" i="540"/>
  <c r="P155" i="540"/>
  <c r="O155" i="540"/>
  <c r="N155" i="540"/>
  <c r="M155" i="540"/>
  <c r="L155" i="540"/>
  <c r="K155" i="540"/>
  <c r="J155" i="540"/>
  <c r="I155" i="540"/>
  <c r="H155" i="540"/>
  <c r="G155" i="540"/>
  <c r="D155" i="540"/>
  <c r="R154" i="540"/>
  <c r="Q154" i="540"/>
  <c r="P154" i="540"/>
  <c r="O154" i="540"/>
  <c r="N154" i="540"/>
  <c r="M154" i="540"/>
  <c r="L154" i="540"/>
  <c r="K154" i="540"/>
  <c r="J154" i="540"/>
  <c r="I154" i="540"/>
  <c r="H154" i="540"/>
  <c r="G154" i="540"/>
  <c r="D154" i="540"/>
  <c r="R153" i="540"/>
  <c r="Q153" i="540"/>
  <c r="P153" i="540"/>
  <c r="O153" i="540"/>
  <c r="N153" i="540"/>
  <c r="M153" i="540"/>
  <c r="L153" i="540"/>
  <c r="K153" i="540"/>
  <c r="J153" i="540"/>
  <c r="I153" i="540"/>
  <c r="H153" i="540"/>
  <c r="G153" i="540"/>
  <c r="D153" i="540"/>
  <c r="R152" i="540"/>
  <c r="Q152" i="540"/>
  <c r="P152" i="540"/>
  <c r="O152" i="540"/>
  <c r="N152" i="540"/>
  <c r="M152" i="540"/>
  <c r="L152" i="540"/>
  <c r="K152" i="540"/>
  <c r="J152" i="540"/>
  <c r="I152" i="540"/>
  <c r="H152" i="540"/>
  <c r="G152" i="540"/>
  <c r="D152" i="540"/>
  <c r="R151" i="540"/>
  <c r="Q151" i="540"/>
  <c r="P151" i="540"/>
  <c r="O151" i="540"/>
  <c r="N151" i="540"/>
  <c r="M151" i="540"/>
  <c r="L151" i="540"/>
  <c r="K151" i="540"/>
  <c r="J151" i="540"/>
  <c r="I151" i="540"/>
  <c r="H151" i="540"/>
  <c r="G151" i="540"/>
  <c r="D151" i="540"/>
  <c r="G150" i="540"/>
  <c r="D150" i="540"/>
  <c r="G149" i="540"/>
  <c r="D149" i="540"/>
  <c r="G148" i="540"/>
  <c r="D148" i="540"/>
  <c r="N143" i="540"/>
  <c r="M143" i="540"/>
  <c r="L143" i="540"/>
  <c r="K143" i="540"/>
  <c r="J143" i="540"/>
  <c r="I143" i="540"/>
  <c r="H143" i="540"/>
  <c r="G143" i="540"/>
  <c r="G147" i="540"/>
  <c r="D147" i="540"/>
  <c r="G146" i="540"/>
  <c r="D146" i="540"/>
  <c r="R145" i="540"/>
  <c r="Q145" i="540"/>
  <c r="P145" i="540"/>
  <c r="O145" i="540"/>
  <c r="N145" i="540"/>
  <c r="M145" i="540"/>
  <c r="L145" i="540"/>
  <c r="K145" i="540"/>
  <c r="J145" i="540"/>
  <c r="I145" i="540"/>
  <c r="H145" i="540"/>
  <c r="G145" i="540"/>
  <c r="D145" i="540"/>
  <c r="R143" i="540"/>
  <c r="Q143" i="540"/>
  <c r="P143" i="540"/>
  <c r="O143" i="540"/>
  <c r="R142" i="540"/>
  <c r="Q142" i="540"/>
  <c r="P142" i="540"/>
  <c r="O142" i="540"/>
  <c r="N142" i="540"/>
  <c r="M142" i="540"/>
  <c r="L142" i="540"/>
  <c r="K142" i="540"/>
  <c r="J142" i="540"/>
  <c r="I142" i="540"/>
  <c r="H142" i="540"/>
  <c r="G142" i="540"/>
  <c r="R109" i="540"/>
  <c r="R141" i="540"/>
  <c r="Q109" i="540"/>
  <c r="Q141" i="540"/>
  <c r="P109" i="540"/>
  <c r="P141" i="540"/>
  <c r="O109" i="540"/>
  <c r="O141" i="540"/>
  <c r="N109" i="540"/>
  <c r="N141" i="540"/>
  <c r="M109" i="540"/>
  <c r="M141" i="540"/>
  <c r="L109" i="540"/>
  <c r="L141" i="540"/>
  <c r="K109" i="540"/>
  <c r="K141" i="540"/>
  <c r="J109" i="540"/>
  <c r="J141" i="540"/>
  <c r="I109" i="540"/>
  <c r="I141" i="540"/>
  <c r="H109" i="540"/>
  <c r="H141" i="540"/>
  <c r="G109" i="540"/>
  <c r="G141" i="540"/>
  <c r="R139" i="540"/>
  <c r="Q139" i="540"/>
  <c r="P139" i="540"/>
  <c r="O139" i="540"/>
  <c r="N139" i="540"/>
  <c r="M139" i="540"/>
  <c r="L139" i="540"/>
  <c r="K139" i="540"/>
  <c r="J139" i="540"/>
  <c r="I139" i="540"/>
  <c r="H139" i="540"/>
  <c r="G139" i="540"/>
  <c r="G121" i="540"/>
  <c r="G122" i="540"/>
  <c r="G123" i="540"/>
  <c r="I123" i="540"/>
  <c r="I124" i="540"/>
  <c r="H123" i="540"/>
  <c r="H124" i="540"/>
  <c r="G124" i="540"/>
  <c r="I122" i="540"/>
  <c r="B106" i="540"/>
  <c r="B107" i="540"/>
  <c r="B108" i="540"/>
  <c r="B109" i="540"/>
  <c r="B110" i="540"/>
  <c r="B111" i="540"/>
  <c r="B112" i="540"/>
  <c r="B113" i="540"/>
  <c r="S107" i="540"/>
  <c r="S106" i="540"/>
  <c r="G65" i="540"/>
  <c r="G66" i="540"/>
  <c r="G67" i="540"/>
  <c r="G73" i="540"/>
  <c r="G92" i="540"/>
  <c r="G93" i="540"/>
  <c r="G94" i="540"/>
  <c r="G95" i="540"/>
  <c r="G104" i="540"/>
  <c r="G105" i="540"/>
  <c r="H65" i="540"/>
  <c r="H66" i="540"/>
  <c r="H67" i="540"/>
  <c r="H73" i="540"/>
  <c r="H92" i="540"/>
  <c r="H93" i="540"/>
  <c r="H27" i="540"/>
  <c r="H94" i="540"/>
  <c r="H95" i="540"/>
  <c r="H104" i="540"/>
  <c r="H105" i="540"/>
  <c r="I65" i="540"/>
  <c r="I66" i="540"/>
  <c r="I67" i="540"/>
  <c r="I73" i="540"/>
  <c r="I92" i="540"/>
  <c r="I93" i="540"/>
  <c r="I27" i="540"/>
  <c r="I94" i="540"/>
  <c r="I95" i="540"/>
  <c r="I104" i="540"/>
  <c r="I105" i="540"/>
  <c r="J65" i="540"/>
  <c r="J66" i="540"/>
  <c r="J67" i="540"/>
  <c r="J73" i="540"/>
  <c r="J92" i="540"/>
  <c r="J93" i="540"/>
  <c r="J27" i="540"/>
  <c r="J94" i="540"/>
  <c r="J95" i="540"/>
  <c r="J104" i="540"/>
  <c r="J105" i="540"/>
  <c r="K65" i="540"/>
  <c r="K66" i="540"/>
  <c r="K67" i="540"/>
  <c r="K73" i="540"/>
  <c r="K92" i="540"/>
  <c r="K93" i="540"/>
  <c r="K27" i="540"/>
  <c r="K94" i="540"/>
  <c r="K95" i="540"/>
  <c r="K104" i="540"/>
  <c r="K105" i="540"/>
  <c r="L65" i="540"/>
  <c r="L66" i="540"/>
  <c r="L67" i="540"/>
  <c r="L73" i="540"/>
  <c r="L92" i="540"/>
  <c r="L93" i="540"/>
  <c r="L27" i="540"/>
  <c r="L94" i="540"/>
  <c r="L95" i="540"/>
  <c r="L104" i="540"/>
  <c r="L105" i="540"/>
  <c r="M65" i="540"/>
  <c r="M66" i="540"/>
  <c r="M67" i="540"/>
  <c r="M73" i="540"/>
  <c r="M92" i="540"/>
  <c r="M93" i="540"/>
  <c r="M27" i="540"/>
  <c r="M94" i="540"/>
  <c r="M95" i="540"/>
  <c r="M104" i="540"/>
  <c r="M105" i="540"/>
  <c r="N65" i="540"/>
  <c r="N66" i="540"/>
  <c r="N67" i="540"/>
  <c r="N73" i="540"/>
  <c r="N92" i="540"/>
  <c r="N93" i="540"/>
  <c r="N27" i="540"/>
  <c r="N94" i="540"/>
  <c r="N95" i="540"/>
  <c r="N104" i="540"/>
  <c r="N105" i="540"/>
  <c r="O65" i="540"/>
  <c r="O66" i="540"/>
  <c r="O67" i="540"/>
  <c r="O73" i="540"/>
  <c r="O92" i="540"/>
  <c r="O93" i="540"/>
  <c r="O27" i="540"/>
  <c r="O94" i="540"/>
  <c r="O95" i="540"/>
  <c r="O104" i="540"/>
  <c r="O105" i="540"/>
  <c r="P65" i="540"/>
  <c r="P66" i="540"/>
  <c r="P67" i="540"/>
  <c r="P73" i="540"/>
  <c r="P92" i="540"/>
  <c r="P93" i="540"/>
  <c r="P27" i="540"/>
  <c r="P94" i="540"/>
  <c r="P95" i="540"/>
  <c r="P104" i="540"/>
  <c r="P105" i="540"/>
  <c r="Q65" i="540"/>
  <c r="Q66" i="540"/>
  <c r="Q67" i="540"/>
  <c r="Q73" i="540"/>
  <c r="Q92" i="540"/>
  <c r="Q93" i="540"/>
  <c r="Q27" i="540"/>
  <c r="Q94" i="540"/>
  <c r="Q95" i="540"/>
  <c r="Q104" i="540"/>
  <c r="Q105" i="540"/>
  <c r="R65" i="540"/>
  <c r="R66" i="540"/>
  <c r="R67" i="540"/>
  <c r="R73" i="540"/>
  <c r="R92" i="540"/>
  <c r="R93" i="540"/>
  <c r="R27" i="540"/>
  <c r="R94" i="540"/>
  <c r="R95" i="540"/>
  <c r="R104" i="540"/>
  <c r="R105" i="540"/>
  <c r="S105" i="540"/>
  <c r="S104" i="540"/>
  <c r="G103" i="540"/>
  <c r="H103" i="540"/>
  <c r="I103" i="540"/>
  <c r="J103" i="540"/>
  <c r="K103" i="540"/>
  <c r="L103" i="540"/>
  <c r="M103" i="540"/>
  <c r="N103" i="540"/>
  <c r="O103" i="540"/>
  <c r="P103" i="540"/>
  <c r="Q103" i="540"/>
  <c r="R103" i="540"/>
  <c r="S103" i="540"/>
  <c r="S102" i="540"/>
  <c r="G98" i="540"/>
  <c r="G99" i="540"/>
  <c r="G101" i="540"/>
  <c r="H98" i="540"/>
  <c r="H99" i="540"/>
  <c r="H101" i="540"/>
  <c r="I98" i="540"/>
  <c r="I99" i="540"/>
  <c r="I101" i="540"/>
  <c r="J98" i="540"/>
  <c r="J99" i="540"/>
  <c r="J101" i="540"/>
  <c r="K98" i="540"/>
  <c r="K99" i="540"/>
  <c r="K101" i="540"/>
  <c r="L98" i="540"/>
  <c r="L99" i="540"/>
  <c r="L101" i="540"/>
  <c r="M98" i="540"/>
  <c r="M99" i="540"/>
  <c r="M101" i="540"/>
  <c r="N98" i="540"/>
  <c r="N99" i="540"/>
  <c r="N101" i="540"/>
  <c r="O98" i="540"/>
  <c r="O99" i="540"/>
  <c r="O101" i="540"/>
  <c r="P98" i="540"/>
  <c r="P99" i="540"/>
  <c r="P101" i="540"/>
  <c r="Q98" i="540"/>
  <c r="Q99" i="540"/>
  <c r="Q101" i="540"/>
  <c r="R98" i="540"/>
  <c r="R99" i="540"/>
  <c r="R101" i="540"/>
  <c r="S101" i="540"/>
  <c r="G100" i="540"/>
  <c r="H100" i="540"/>
  <c r="I100" i="540"/>
  <c r="J100" i="540"/>
  <c r="K100" i="540"/>
  <c r="L100" i="540"/>
  <c r="M100" i="540"/>
  <c r="N100" i="540"/>
  <c r="O100" i="540"/>
  <c r="P100" i="540"/>
  <c r="Q100" i="540"/>
  <c r="R100" i="540"/>
  <c r="S100" i="540"/>
  <c r="S99" i="540"/>
  <c r="S98" i="540"/>
  <c r="S97" i="540"/>
  <c r="S95" i="540"/>
  <c r="S93" i="540"/>
  <c r="S92" i="540"/>
  <c r="S91" i="540"/>
  <c r="S90" i="540"/>
  <c r="S89" i="540"/>
  <c r="S88" i="540"/>
  <c r="S87" i="540"/>
  <c r="S86" i="540"/>
  <c r="S85" i="540"/>
  <c r="S84" i="540"/>
  <c r="S83" i="540"/>
  <c r="S82" i="540"/>
  <c r="D82" i="540"/>
  <c r="S81" i="540"/>
  <c r="D81" i="540"/>
  <c r="S80" i="540"/>
  <c r="D80" i="540"/>
  <c r="S79" i="540"/>
  <c r="D79" i="540"/>
  <c r="S78" i="540"/>
  <c r="D78" i="540"/>
  <c r="S77" i="540"/>
  <c r="D77" i="540"/>
  <c r="S76" i="540"/>
  <c r="S75" i="540"/>
  <c r="S74" i="540"/>
  <c r="S73" i="540"/>
  <c r="S72" i="540"/>
  <c r="S70" i="540"/>
  <c r="S69" i="540"/>
  <c r="S68" i="540"/>
  <c r="S67" i="540"/>
  <c r="S66" i="540"/>
  <c r="S65" i="540"/>
  <c r="S64" i="540"/>
  <c r="S63" i="540"/>
  <c r="S62" i="540"/>
  <c r="S61" i="540"/>
  <c r="S60" i="540"/>
  <c r="S59" i="540"/>
  <c r="S58" i="540"/>
  <c r="S57" i="540"/>
  <c r="S56" i="540"/>
  <c r="S55" i="540"/>
  <c r="S54" i="540"/>
  <c r="E54" i="540"/>
  <c r="C54" i="540"/>
  <c r="S53" i="540"/>
  <c r="E53" i="540"/>
  <c r="C53" i="540"/>
  <c r="S52" i="540"/>
  <c r="E52" i="540"/>
  <c r="C52" i="540"/>
  <c r="S51" i="540"/>
  <c r="E51" i="540"/>
  <c r="C51" i="540"/>
  <c r="S50" i="540"/>
  <c r="E50" i="540"/>
  <c r="C50" i="540"/>
  <c r="S49" i="540"/>
  <c r="E49" i="540"/>
  <c r="C49" i="540"/>
  <c r="S48" i="540"/>
  <c r="S47" i="540"/>
  <c r="S46" i="540"/>
  <c r="S45" i="540"/>
  <c r="R2" i="540"/>
  <c r="R44" i="540"/>
  <c r="Q2" i="540"/>
  <c r="Q44" i="540"/>
  <c r="P2" i="540"/>
  <c r="P44" i="540"/>
  <c r="O2" i="540"/>
  <c r="O44" i="540"/>
  <c r="N2" i="540"/>
  <c r="N44" i="540"/>
  <c r="M2" i="540"/>
  <c r="M44" i="540"/>
  <c r="L2" i="540"/>
  <c r="L44" i="540"/>
  <c r="K2" i="540"/>
  <c r="K44" i="540"/>
  <c r="J2" i="540"/>
  <c r="J44" i="540"/>
  <c r="I2" i="540"/>
  <c r="I44" i="540"/>
  <c r="H2" i="540"/>
  <c r="H44" i="540"/>
  <c r="G2" i="540"/>
  <c r="G44" i="540"/>
  <c r="A44" i="540"/>
  <c r="R7" i="540"/>
  <c r="Q7" i="540"/>
  <c r="P7" i="540"/>
  <c r="O7" i="540"/>
  <c r="N7" i="540"/>
  <c r="M7" i="540"/>
  <c r="L7" i="540"/>
  <c r="K7" i="540"/>
  <c r="J7" i="540"/>
  <c r="I7" i="540"/>
  <c r="H7" i="540"/>
  <c r="H1" i="540"/>
  <c r="I1" i="540"/>
  <c r="J1" i="540"/>
  <c r="K1" i="540"/>
  <c r="L1" i="540"/>
  <c r="M1" i="540"/>
  <c r="N1" i="540"/>
  <c r="O1" i="540"/>
  <c r="P1" i="540"/>
  <c r="Q1" i="540"/>
  <c r="R1" i="540"/>
  <c r="B74" i="539"/>
  <c r="B75" i="539"/>
  <c r="B76" i="539"/>
  <c r="B77" i="539"/>
  <c r="B78" i="539"/>
  <c r="B79" i="539"/>
  <c r="B80" i="539"/>
  <c r="B81" i="539"/>
  <c r="B82" i="539"/>
  <c r="B83" i="539"/>
  <c r="B84" i="539"/>
  <c r="B85" i="539"/>
  <c r="B86" i="539"/>
  <c r="B87" i="539"/>
  <c r="B88" i="539"/>
  <c r="B89" i="539"/>
  <c r="B90" i="539"/>
  <c r="B91" i="539"/>
  <c r="B92" i="539"/>
  <c r="B93" i="539"/>
  <c r="B94" i="539"/>
  <c r="B95" i="539"/>
  <c r="B96" i="539"/>
  <c r="B97" i="539"/>
  <c r="B98" i="539"/>
  <c r="B99" i="539"/>
  <c r="B100" i="539"/>
  <c r="B101" i="539"/>
  <c r="B102" i="539"/>
  <c r="B103" i="539"/>
  <c r="B104" i="539"/>
  <c r="B105" i="539"/>
  <c r="D205" i="539"/>
  <c r="B173" i="539"/>
  <c r="B174" i="539"/>
  <c r="B175" i="539"/>
  <c r="B176" i="539"/>
  <c r="B177" i="539"/>
  <c r="B178" i="539"/>
  <c r="B179" i="539"/>
  <c r="B180" i="539"/>
  <c r="B181" i="539"/>
  <c r="B182" i="539"/>
  <c r="B183" i="539"/>
  <c r="B184" i="539"/>
  <c r="B185" i="539"/>
  <c r="B186" i="539"/>
  <c r="B187" i="539"/>
  <c r="B188" i="539"/>
  <c r="B189" i="539"/>
  <c r="B190" i="539"/>
  <c r="B191" i="539"/>
  <c r="B192" i="539"/>
  <c r="B193" i="539"/>
  <c r="B194" i="539"/>
  <c r="B195" i="539"/>
  <c r="B196" i="539"/>
  <c r="B197" i="539"/>
  <c r="B198" i="539"/>
  <c r="B199" i="539"/>
  <c r="B200" i="539"/>
  <c r="B201" i="539"/>
  <c r="B202" i="539"/>
  <c r="B203" i="539"/>
  <c r="B204" i="539"/>
  <c r="B205" i="539"/>
  <c r="D204" i="539"/>
  <c r="R203" i="539"/>
  <c r="Q203" i="539"/>
  <c r="P203" i="539"/>
  <c r="O203" i="539"/>
  <c r="N203" i="539"/>
  <c r="M203" i="539"/>
  <c r="L203" i="539"/>
  <c r="K203" i="539"/>
  <c r="J203" i="539"/>
  <c r="I203" i="539"/>
  <c r="H203" i="539"/>
  <c r="G203" i="539"/>
  <c r="D203" i="539"/>
  <c r="R202" i="539"/>
  <c r="Q202" i="539"/>
  <c r="P202" i="539"/>
  <c r="O202" i="539"/>
  <c r="N202" i="539"/>
  <c r="M202" i="539"/>
  <c r="L202" i="539"/>
  <c r="K202" i="539"/>
  <c r="J202" i="539"/>
  <c r="I202" i="539"/>
  <c r="H202" i="539"/>
  <c r="G202" i="539"/>
  <c r="D202" i="539"/>
  <c r="D201" i="539"/>
  <c r="D200" i="539"/>
  <c r="D199" i="539"/>
  <c r="D198" i="539"/>
  <c r="D197" i="539"/>
  <c r="D196" i="539"/>
  <c r="H26" i="539"/>
  <c r="I26" i="539"/>
  <c r="J26" i="539"/>
  <c r="K26" i="539"/>
  <c r="L26" i="539"/>
  <c r="M26" i="539"/>
  <c r="N26" i="539"/>
  <c r="O26" i="539"/>
  <c r="P26" i="539"/>
  <c r="Q26" i="539"/>
  <c r="R26" i="539"/>
  <c r="D195" i="539"/>
  <c r="D194" i="539"/>
  <c r="D193" i="539"/>
  <c r="R64" i="539"/>
  <c r="R102" i="539"/>
  <c r="R90" i="539"/>
  <c r="R91" i="539"/>
  <c r="Q64" i="539"/>
  <c r="Q102" i="539"/>
  <c r="Q90" i="539"/>
  <c r="Q91" i="539"/>
  <c r="P64" i="539"/>
  <c r="P102" i="539"/>
  <c r="P90" i="539"/>
  <c r="P91" i="539"/>
  <c r="O64" i="539"/>
  <c r="O102" i="539"/>
  <c r="O90" i="539"/>
  <c r="O91" i="539"/>
  <c r="N64" i="539"/>
  <c r="N102" i="539"/>
  <c r="N90" i="539"/>
  <c r="N91" i="539"/>
  <c r="M64" i="539"/>
  <c r="M102" i="539"/>
  <c r="M90" i="539"/>
  <c r="M91" i="539"/>
  <c r="L64" i="539"/>
  <c r="L102" i="539"/>
  <c r="L90" i="539"/>
  <c r="L91" i="539"/>
  <c r="K64" i="539"/>
  <c r="K102" i="539"/>
  <c r="K90" i="539"/>
  <c r="K91" i="539"/>
  <c r="J64" i="539"/>
  <c r="J102" i="539"/>
  <c r="J90" i="539"/>
  <c r="J91" i="539"/>
  <c r="I64" i="539"/>
  <c r="I102" i="539"/>
  <c r="I90" i="539"/>
  <c r="I91" i="539"/>
  <c r="H64" i="539"/>
  <c r="H102" i="539"/>
  <c r="H90" i="539"/>
  <c r="H91" i="539"/>
  <c r="G102" i="539"/>
  <c r="G90" i="539"/>
  <c r="G91" i="539"/>
  <c r="D192" i="539"/>
  <c r="D191" i="539"/>
  <c r="D190" i="539"/>
  <c r="D189" i="539"/>
  <c r="R188" i="539"/>
  <c r="Q188" i="539"/>
  <c r="P188" i="539"/>
  <c r="O188" i="539"/>
  <c r="N188" i="539"/>
  <c r="M188" i="539"/>
  <c r="L188" i="539"/>
  <c r="K188" i="539"/>
  <c r="J188" i="539"/>
  <c r="I188" i="539"/>
  <c r="H188" i="539"/>
  <c r="G188" i="539"/>
  <c r="D188" i="539"/>
  <c r="R187" i="539"/>
  <c r="Q187" i="539"/>
  <c r="P187" i="539"/>
  <c r="O187" i="539"/>
  <c r="N187" i="539"/>
  <c r="M187" i="539"/>
  <c r="L187" i="539"/>
  <c r="K187" i="539"/>
  <c r="J187" i="539"/>
  <c r="I187" i="539"/>
  <c r="H187" i="539"/>
  <c r="G187" i="539"/>
  <c r="D187" i="539"/>
  <c r="D186" i="539"/>
  <c r="R185" i="539"/>
  <c r="Q185" i="539"/>
  <c r="P185" i="539"/>
  <c r="O185" i="539"/>
  <c r="N185" i="539"/>
  <c r="M185" i="539"/>
  <c r="L185" i="539"/>
  <c r="K185" i="539"/>
  <c r="J185" i="539"/>
  <c r="I185" i="539"/>
  <c r="H185" i="539"/>
  <c r="G185" i="539"/>
  <c r="D185" i="539"/>
  <c r="R184" i="539"/>
  <c r="Q184" i="539"/>
  <c r="P184" i="539"/>
  <c r="O184" i="539"/>
  <c r="N184" i="539"/>
  <c r="M184" i="539"/>
  <c r="L184" i="539"/>
  <c r="K184" i="539"/>
  <c r="J184" i="539"/>
  <c r="I184" i="539"/>
  <c r="H184" i="539"/>
  <c r="G184" i="539"/>
  <c r="D184" i="539"/>
  <c r="R183" i="539"/>
  <c r="Q183" i="539"/>
  <c r="P183" i="539"/>
  <c r="O183" i="539"/>
  <c r="N183" i="539"/>
  <c r="M183" i="539"/>
  <c r="L183" i="539"/>
  <c r="K183" i="539"/>
  <c r="J183" i="539"/>
  <c r="I183" i="539"/>
  <c r="H183" i="539"/>
  <c r="G183" i="539"/>
  <c r="D183" i="539"/>
  <c r="R182" i="539"/>
  <c r="Q182" i="539"/>
  <c r="P182" i="539"/>
  <c r="O182" i="539"/>
  <c r="N182" i="539"/>
  <c r="M182" i="539"/>
  <c r="L182" i="539"/>
  <c r="K182" i="539"/>
  <c r="J182" i="539"/>
  <c r="I182" i="539"/>
  <c r="H182" i="539"/>
  <c r="G182" i="539"/>
  <c r="D182" i="539"/>
  <c r="R181" i="539"/>
  <c r="Q181" i="539"/>
  <c r="P181" i="539"/>
  <c r="O181" i="539"/>
  <c r="N181" i="539"/>
  <c r="M181" i="539"/>
  <c r="L181" i="539"/>
  <c r="K181" i="539"/>
  <c r="J181" i="539"/>
  <c r="I181" i="539"/>
  <c r="H181" i="539"/>
  <c r="G181" i="539"/>
  <c r="D181" i="539"/>
  <c r="R180" i="539"/>
  <c r="Q180" i="539"/>
  <c r="P180" i="539"/>
  <c r="O180" i="539"/>
  <c r="N180" i="539"/>
  <c r="M180" i="539"/>
  <c r="L180" i="539"/>
  <c r="K180" i="539"/>
  <c r="J180" i="539"/>
  <c r="I180" i="539"/>
  <c r="H180" i="539"/>
  <c r="G180" i="539"/>
  <c r="D180" i="539"/>
  <c r="R179" i="539"/>
  <c r="Q179" i="539"/>
  <c r="P179" i="539"/>
  <c r="O179" i="539"/>
  <c r="N179" i="539"/>
  <c r="M179" i="539"/>
  <c r="L179" i="539"/>
  <c r="K179" i="539"/>
  <c r="J179" i="539"/>
  <c r="I179" i="539"/>
  <c r="H179" i="539"/>
  <c r="G179" i="539"/>
  <c r="D179" i="539"/>
  <c r="R178" i="539"/>
  <c r="Q178" i="539"/>
  <c r="P178" i="539"/>
  <c r="O178" i="539"/>
  <c r="N178" i="539"/>
  <c r="M178" i="539"/>
  <c r="L178" i="539"/>
  <c r="K178" i="539"/>
  <c r="J178" i="539"/>
  <c r="I178" i="539"/>
  <c r="H178" i="539"/>
  <c r="G178" i="539"/>
  <c r="D178" i="539"/>
  <c r="R177" i="539"/>
  <c r="Q177" i="539"/>
  <c r="P177" i="539"/>
  <c r="O177" i="539"/>
  <c r="N177" i="539"/>
  <c r="M177" i="539"/>
  <c r="L177" i="539"/>
  <c r="K177" i="539"/>
  <c r="J177" i="539"/>
  <c r="I177" i="539"/>
  <c r="H177" i="539"/>
  <c r="G177" i="539"/>
  <c r="D177" i="539"/>
  <c r="R176" i="539"/>
  <c r="Q176" i="539"/>
  <c r="P176" i="539"/>
  <c r="O176" i="539"/>
  <c r="N176" i="539"/>
  <c r="M176" i="539"/>
  <c r="L176" i="539"/>
  <c r="K176" i="539"/>
  <c r="J176" i="539"/>
  <c r="I176" i="539"/>
  <c r="H176" i="539"/>
  <c r="G176" i="539"/>
  <c r="D176" i="539"/>
  <c r="R175" i="539"/>
  <c r="Q175" i="539"/>
  <c r="P175" i="539"/>
  <c r="O175" i="539"/>
  <c r="N175" i="539"/>
  <c r="M175" i="539"/>
  <c r="L175" i="539"/>
  <c r="K175" i="539"/>
  <c r="J175" i="539"/>
  <c r="I175" i="539"/>
  <c r="H175" i="539"/>
  <c r="G175" i="539"/>
  <c r="D175" i="539"/>
  <c r="R174" i="539"/>
  <c r="Q174" i="539"/>
  <c r="P174" i="539"/>
  <c r="O174" i="539"/>
  <c r="N174" i="539"/>
  <c r="M174" i="539"/>
  <c r="L174" i="539"/>
  <c r="K174" i="539"/>
  <c r="J174" i="539"/>
  <c r="I174" i="539"/>
  <c r="H174" i="539"/>
  <c r="G174" i="539"/>
  <c r="D174" i="539"/>
  <c r="D173" i="539"/>
  <c r="G64" i="539"/>
  <c r="R172" i="539"/>
  <c r="Q172" i="539"/>
  <c r="P172" i="539"/>
  <c r="O172" i="539"/>
  <c r="N172" i="539"/>
  <c r="M172" i="539"/>
  <c r="L172" i="539"/>
  <c r="K172" i="539"/>
  <c r="J172" i="539"/>
  <c r="I172" i="539"/>
  <c r="H172" i="539"/>
  <c r="G172" i="539"/>
  <c r="R170" i="539"/>
  <c r="Q170" i="539"/>
  <c r="P170" i="539"/>
  <c r="O170" i="539"/>
  <c r="N170" i="539"/>
  <c r="M170" i="539"/>
  <c r="L170" i="539"/>
  <c r="K170" i="539"/>
  <c r="J170" i="539"/>
  <c r="I170" i="539"/>
  <c r="H170" i="539"/>
  <c r="G170" i="539"/>
  <c r="D170" i="539"/>
  <c r="R169" i="539"/>
  <c r="Q169" i="539"/>
  <c r="P169" i="539"/>
  <c r="O169" i="539"/>
  <c r="N169" i="539"/>
  <c r="M169" i="539"/>
  <c r="L169" i="539"/>
  <c r="K169" i="539"/>
  <c r="J169" i="539"/>
  <c r="I169" i="539"/>
  <c r="H169" i="539"/>
  <c r="G169" i="539"/>
  <c r="D169" i="539"/>
  <c r="R168" i="539"/>
  <c r="Q168" i="539"/>
  <c r="P168" i="539"/>
  <c r="O168" i="539"/>
  <c r="N168" i="539"/>
  <c r="M168" i="539"/>
  <c r="L168" i="539"/>
  <c r="K168" i="539"/>
  <c r="J168" i="539"/>
  <c r="I168" i="539"/>
  <c r="H168" i="539"/>
  <c r="G168" i="539"/>
  <c r="D168" i="539"/>
  <c r="D167" i="539"/>
  <c r="R166" i="539"/>
  <c r="Q166" i="539"/>
  <c r="P166" i="539"/>
  <c r="O166" i="539"/>
  <c r="N166" i="539"/>
  <c r="M166" i="539"/>
  <c r="L166" i="539"/>
  <c r="K166" i="539"/>
  <c r="J166" i="539"/>
  <c r="I166" i="539"/>
  <c r="H166" i="539"/>
  <c r="G166" i="539"/>
  <c r="D166" i="539"/>
  <c r="R165" i="539"/>
  <c r="Q165" i="539"/>
  <c r="P165" i="539"/>
  <c r="O165" i="539"/>
  <c r="N165" i="539"/>
  <c r="M165" i="539"/>
  <c r="L165" i="539"/>
  <c r="K165" i="539"/>
  <c r="J165" i="539"/>
  <c r="I165" i="539"/>
  <c r="H165" i="539"/>
  <c r="G165" i="539"/>
  <c r="D165" i="539"/>
  <c r="R164" i="539"/>
  <c r="Q164" i="539"/>
  <c r="P164" i="539"/>
  <c r="O164" i="539"/>
  <c r="N164" i="539"/>
  <c r="M164" i="539"/>
  <c r="L164" i="539"/>
  <c r="K164" i="539"/>
  <c r="J164" i="539"/>
  <c r="I164" i="539"/>
  <c r="H164" i="539"/>
  <c r="G164" i="539"/>
  <c r="D164" i="539"/>
  <c r="R163" i="539"/>
  <c r="Q163" i="539"/>
  <c r="P163" i="539"/>
  <c r="O163" i="539"/>
  <c r="N163" i="539"/>
  <c r="M163" i="539"/>
  <c r="L163" i="539"/>
  <c r="K163" i="539"/>
  <c r="J163" i="539"/>
  <c r="I163" i="539"/>
  <c r="H163" i="539"/>
  <c r="G163" i="539"/>
  <c r="D163" i="539"/>
  <c r="D162" i="539"/>
  <c r="R161" i="539"/>
  <c r="Q161" i="539"/>
  <c r="P161" i="539"/>
  <c r="O161" i="539"/>
  <c r="N161" i="539"/>
  <c r="M161" i="539"/>
  <c r="L161" i="539"/>
  <c r="K161" i="539"/>
  <c r="J161" i="539"/>
  <c r="I161" i="539"/>
  <c r="H161" i="539"/>
  <c r="G161" i="539"/>
  <c r="D161" i="539"/>
  <c r="R160" i="539"/>
  <c r="Q160" i="539"/>
  <c r="P160" i="539"/>
  <c r="O160" i="539"/>
  <c r="N160" i="539"/>
  <c r="M160" i="539"/>
  <c r="L160" i="539"/>
  <c r="K160" i="539"/>
  <c r="J160" i="539"/>
  <c r="I160" i="539"/>
  <c r="H160" i="539"/>
  <c r="G160" i="539"/>
  <c r="D160" i="539"/>
  <c r="R159" i="539"/>
  <c r="Q159" i="539"/>
  <c r="P159" i="539"/>
  <c r="O159" i="539"/>
  <c r="N159" i="539"/>
  <c r="M159" i="539"/>
  <c r="L159" i="539"/>
  <c r="K159" i="539"/>
  <c r="J159" i="539"/>
  <c r="I159" i="539"/>
  <c r="H159" i="539"/>
  <c r="G159" i="539"/>
  <c r="D159" i="539"/>
  <c r="R158" i="539"/>
  <c r="Q158" i="539"/>
  <c r="P158" i="539"/>
  <c r="O158" i="539"/>
  <c r="N158" i="539"/>
  <c r="M158" i="539"/>
  <c r="L158" i="539"/>
  <c r="K158" i="539"/>
  <c r="J158" i="539"/>
  <c r="I158" i="539"/>
  <c r="H158" i="539"/>
  <c r="G158" i="539"/>
  <c r="D158" i="539"/>
  <c r="R157" i="539"/>
  <c r="Q157" i="539"/>
  <c r="P157" i="539"/>
  <c r="O157" i="539"/>
  <c r="N157" i="539"/>
  <c r="M157" i="539"/>
  <c r="L157" i="539"/>
  <c r="K157" i="539"/>
  <c r="J157" i="539"/>
  <c r="I157" i="539"/>
  <c r="H157" i="539"/>
  <c r="G157" i="539"/>
  <c r="D157" i="539"/>
  <c r="R156" i="539"/>
  <c r="Q156" i="539"/>
  <c r="P156" i="539"/>
  <c r="O156" i="539"/>
  <c r="N156" i="539"/>
  <c r="M156" i="539"/>
  <c r="L156" i="539"/>
  <c r="K156" i="539"/>
  <c r="J156" i="539"/>
  <c r="I156" i="539"/>
  <c r="H156" i="539"/>
  <c r="G156" i="539"/>
  <c r="D156" i="539"/>
  <c r="R155" i="539"/>
  <c r="Q155" i="539"/>
  <c r="P155" i="539"/>
  <c r="O155" i="539"/>
  <c r="N155" i="539"/>
  <c r="M155" i="539"/>
  <c r="L155" i="539"/>
  <c r="K155" i="539"/>
  <c r="J155" i="539"/>
  <c r="I155" i="539"/>
  <c r="H155" i="539"/>
  <c r="G155" i="539"/>
  <c r="D155" i="539"/>
  <c r="R154" i="539"/>
  <c r="Q154" i="539"/>
  <c r="P154" i="539"/>
  <c r="O154" i="539"/>
  <c r="N154" i="539"/>
  <c r="M154" i="539"/>
  <c r="L154" i="539"/>
  <c r="K154" i="539"/>
  <c r="J154" i="539"/>
  <c r="I154" i="539"/>
  <c r="H154" i="539"/>
  <c r="G154" i="539"/>
  <c r="D154" i="539"/>
  <c r="R153" i="539"/>
  <c r="Q153" i="539"/>
  <c r="P153" i="539"/>
  <c r="O153" i="539"/>
  <c r="N153" i="539"/>
  <c r="M153" i="539"/>
  <c r="L153" i="539"/>
  <c r="K153" i="539"/>
  <c r="J153" i="539"/>
  <c r="I153" i="539"/>
  <c r="H153" i="539"/>
  <c r="G153" i="539"/>
  <c r="D153" i="539"/>
  <c r="R152" i="539"/>
  <c r="Q152" i="539"/>
  <c r="P152" i="539"/>
  <c r="O152" i="539"/>
  <c r="N152" i="539"/>
  <c r="M152" i="539"/>
  <c r="L152" i="539"/>
  <c r="K152" i="539"/>
  <c r="J152" i="539"/>
  <c r="I152" i="539"/>
  <c r="H152" i="539"/>
  <c r="G152" i="539"/>
  <c r="D152" i="539"/>
  <c r="R151" i="539"/>
  <c r="Q151" i="539"/>
  <c r="P151" i="539"/>
  <c r="O151" i="539"/>
  <c r="N151" i="539"/>
  <c r="M151" i="539"/>
  <c r="L151" i="539"/>
  <c r="K151" i="539"/>
  <c r="J151" i="539"/>
  <c r="I151" i="539"/>
  <c r="H151" i="539"/>
  <c r="G151" i="539"/>
  <c r="D151" i="539"/>
  <c r="G150" i="539"/>
  <c r="D150" i="539"/>
  <c r="G149" i="539"/>
  <c r="D149" i="539"/>
  <c r="G148" i="539"/>
  <c r="D148" i="539"/>
  <c r="N143" i="539"/>
  <c r="M143" i="539"/>
  <c r="L143" i="539"/>
  <c r="K143" i="539"/>
  <c r="J143" i="539"/>
  <c r="I143" i="539"/>
  <c r="H143" i="539"/>
  <c r="G143" i="539"/>
  <c r="G147" i="539"/>
  <c r="D147" i="539"/>
  <c r="G146" i="539"/>
  <c r="D146" i="539"/>
  <c r="R145" i="539"/>
  <c r="Q145" i="539"/>
  <c r="P145" i="539"/>
  <c r="O145" i="539"/>
  <c r="N145" i="539"/>
  <c r="M145" i="539"/>
  <c r="L145" i="539"/>
  <c r="K145" i="539"/>
  <c r="J145" i="539"/>
  <c r="I145" i="539"/>
  <c r="H145" i="539"/>
  <c r="G145" i="539"/>
  <c r="D145" i="539"/>
  <c r="R143" i="539"/>
  <c r="Q143" i="539"/>
  <c r="P143" i="539"/>
  <c r="O143" i="539"/>
  <c r="R142" i="539"/>
  <c r="Q142" i="539"/>
  <c r="P142" i="539"/>
  <c r="O142" i="539"/>
  <c r="N142" i="539"/>
  <c r="M142" i="539"/>
  <c r="L142" i="539"/>
  <c r="K142" i="539"/>
  <c r="J142" i="539"/>
  <c r="I142" i="539"/>
  <c r="H142" i="539"/>
  <c r="G142" i="539"/>
  <c r="R109" i="539"/>
  <c r="R141" i="539"/>
  <c r="Q109" i="539"/>
  <c r="Q141" i="539"/>
  <c r="P109" i="539"/>
  <c r="P141" i="539"/>
  <c r="O109" i="539"/>
  <c r="O141" i="539"/>
  <c r="N109" i="539"/>
  <c r="N141" i="539"/>
  <c r="M109" i="539"/>
  <c r="M141" i="539"/>
  <c r="L109" i="539"/>
  <c r="L141" i="539"/>
  <c r="K109" i="539"/>
  <c r="K141" i="539"/>
  <c r="J109" i="539"/>
  <c r="J141" i="539"/>
  <c r="I109" i="539"/>
  <c r="I141" i="539"/>
  <c r="H109" i="539"/>
  <c r="H141" i="539"/>
  <c r="G109" i="539"/>
  <c r="G141" i="539"/>
  <c r="R139" i="539"/>
  <c r="Q139" i="539"/>
  <c r="P139" i="539"/>
  <c r="O139" i="539"/>
  <c r="N139" i="539"/>
  <c r="M139" i="539"/>
  <c r="L139" i="539"/>
  <c r="K139" i="539"/>
  <c r="J139" i="539"/>
  <c r="I139" i="539"/>
  <c r="H139" i="539"/>
  <c r="G139" i="539"/>
  <c r="G121" i="539"/>
  <c r="G122" i="539"/>
  <c r="G123" i="539"/>
  <c r="I123" i="539"/>
  <c r="I124" i="539"/>
  <c r="H123" i="539"/>
  <c r="H124" i="539"/>
  <c r="G124" i="539"/>
  <c r="I122" i="539"/>
  <c r="B106" i="539"/>
  <c r="B107" i="539"/>
  <c r="B108" i="539"/>
  <c r="B109" i="539"/>
  <c r="B110" i="539"/>
  <c r="B111" i="539"/>
  <c r="B112" i="539"/>
  <c r="B113" i="539"/>
  <c r="S107" i="539"/>
  <c r="S106" i="539"/>
  <c r="G65" i="539"/>
  <c r="G66" i="539"/>
  <c r="G67" i="539"/>
  <c r="G73" i="539"/>
  <c r="G92" i="539"/>
  <c r="G93" i="539"/>
  <c r="G94" i="539"/>
  <c r="G95" i="539"/>
  <c r="G104" i="539"/>
  <c r="G105" i="539"/>
  <c r="H65" i="539"/>
  <c r="H66" i="539"/>
  <c r="H67" i="539"/>
  <c r="H73" i="539"/>
  <c r="H92" i="539"/>
  <c r="H93" i="539"/>
  <c r="H27" i="539"/>
  <c r="H94" i="539"/>
  <c r="H95" i="539"/>
  <c r="H104" i="539"/>
  <c r="H105" i="539"/>
  <c r="I65" i="539"/>
  <c r="I66" i="539"/>
  <c r="I67" i="539"/>
  <c r="I73" i="539"/>
  <c r="I92" i="539"/>
  <c r="I93" i="539"/>
  <c r="I27" i="539"/>
  <c r="I94" i="539"/>
  <c r="I95" i="539"/>
  <c r="I104" i="539"/>
  <c r="I105" i="539"/>
  <c r="J65" i="539"/>
  <c r="J66" i="539"/>
  <c r="J67" i="539"/>
  <c r="J73" i="539"/>
  <c r="J92" i="539"/>
  <c r="J93" i="539"/>
  <c r="J27" i="539"/>
  <c r="J94" i="539"/>
  <c r="J95" i="539"/>
  <c r="J104" i="539"/>
  <c r="J105" i="539"/>
  <c r="K65" i="539"/>
  <c r="K66" i="539"/>
  <c r="K67" i="539"/>
  <c r="K73" i="539"/>
  <c r="K92" i="539"/>
  <c r="K93" i="539"/>
  <c r="K27" i="539"/>
  <c r="K94" i="539"/>
  <c r="K95" i="539"/>
  <c r="K104" i="539"/>
  <c r="K105" i="539"/>
  <c r="L65" i="539"/>
  <c r="L66" i="539"/>
  <c r="L67" i="539"/>
  <c r="L73" i="539"/>
  <c r="L92" i="539"/>
  <c r="L93" i="539"/>
  <c r="L27" i="539"/>
  <c r="L94" i="539"/>
  <c r="L95" i="539"/>
  <c r="L104" i="539"/>
  <c r="L105" i="539"/>
  <c r="M65" i="539"/>
  <c r="M66" i="539"/>
  <c r="M67" i="539"/>
  <c r="M73" i="539"/>
  <c r="M92" i="539"/>
  <c r="M93" i="539"/>
  <c r="M27" i="539"/>
  <c r="M94" i="539"/>
  <c r="M95" i="539"/>
  <c r="M104" i="539"/>
  <c r="M105" i="539"/>
  <c r="N65" i="539"/>
  <c r="N66" i="539"/>
  <c r="N67" i="539"/>
  <c r="N73" i="539"/>
  <c r="N92" i="539"/>
  <c r="N93" i="539"/>
  <c r="N27" i="539"/>
  <c r="N94" i="539"/>
  <c r="N95" i="539"/>
  <c r="N104" i="539"/>
  <c r="N105" i="539"/>
  <c r="O65" i="539"/>
  <c r="O66" i="539"/>
  <c r="O67" i="539"/>
  <c r="O73" i="539"/>
  <c r="O92" i="539"/>
  <c r="O93" i="539"/>
  <c r="O27" i="539"/>
  <c r="O94" i="539"/>
  <c r="O95" i="539"/>
  <c r="O104" i="539"/>
  <c r="O105" i="539"/>
  <c r="P65" i="539"/>
  <c r="P66" i="539"/>
  <c r="P67" i="539"/>
  <c r="P73" i="539"/>
  <c r="P92" i="539"/>
  <c r="P93" i="539"/>
  <c r="P27" i="539"/>
  <c r="P94" i="539"/>
  <c r="P95" i="539"/>
  <c r="P104" i="539"/>
  <c r="P105" i="539"/>
  <c r="Q65" i="539"/>
  <c r="Q66" i="539"/>
  <c r="Q67" i="539"/>
  <c r="Q73" i="539"/>
  <c r="Q92" i="539"/>
  <c r="Q93" i="539"/>
  <c r="Q27" i="539"/>
  <c r="Q94" i="539"/>
  <c r="Q95" i="539"/>
  <c r="Q104" i="539"/>
  <c r="Q105" i="539"/>
  <c r="R65" i="539"/>
  <c r="R66" i="539"/>
  <c r="R67" i="539"/>
  <c r="R73" i="539"/>
  <c r="R92" i="539"/>
  <c r="R93" i="539"/>
  <c r="R27" i="539"/>
  <c r="R94" i="539"/>
  <c r="R95" i="539"/>
  <c r="R104" i="539"/>
  <c r="R105" i="539"/>
  <c r="S105" i="539"/>
  <c r="S104" i="539"/>
  <c r="G103" i="539"/>
  <c r="H103" i="539"/>
  <c r="I103" i="539"/>
  <c r="J103" i="539"/>
  <c r="K103" i="539"/>
  <c r="L103" i="539"/>
  <c r="M103" i="539"/>
  <c r="N103" i="539"/>
  <c r="O103" i="539"/>
  <c r="P103" i="539"/>
  <c r="Q103" i="539"/>
  <c r="R103" i="539"/>
  <c r="S103" i="539"/>
  <c r="S102" i="539"/>
  <c r="G98" i="539"/>
  <c r="G99" i="539"/>
  <c r="G101" i="539"/>
  <c r="H98" i="539"/>
  <c r="H99" i="539"/>
  <c r="H101" i="539"/>
  <c r="I98" i="539"/>
  <c r="I99" i="539"/>
  <c r="I101" i="539"/>
  <c r="J98" i="539"/>
  <c r="J99" i="539"/>
  <c r="J101" i="539"/>
  <c r="K98" i="539"/>
  <c r="K99" i="539"/>
  <c r="K101" i="539"/>
  <c r="L98" i="539"/>
  <c r="L99" i="539"/>
  <c r="L101" i="539"/>
  <c r="M98" i="539"/>
  <c r="M99" i="539"/>
  <c r="M101" i="539"/>
  <c r="N98" i="539"/>
  <c r="N99" i="539"/>
  <c r="N101" i="539"/>
  <c r="O98" i="539"/>
  <c r="O99" i="539"/>
  <c r="O101" i="539"/>
  <c r="P98" i="539"/>
  <c r="P99" i="539"/>
  <c r="P101" i="539"/>
  <c r="Q98" i="539"/>
  <c r="Q99" i="539"/>
  <c r="Q101" i="539"/>
  <c r="R98" i="539"/>
  <c r="R99" i="539"/>
  <c r="R101" i="539"/>
  <c r="S101" i="539"/>
  <c r="G100" i="539"/>
  <c r="H100" i="539"/>
  <c r="I100" i="539"/>
  <c r="J100" i="539"/>
  <c r="K100" i="539"/>
  <c r="L100" i="539"/>
  <c r="M100" i="539"/>
  <c r="N100" i="539"/>
  <c r="O100" i="539"/>
  <c r="P100" i="539"/>
  <c r="Q100" i="539"/>
  <c r="R100" i="539"/>
  <c r="S100" i="539"/>
  <c r="S99" i="539"/>
  <c r="S98" i="539"/>
  <c r="S97" i="539"/>
  <c r="S95" i="539"/>
  <c r="S93" i="539"/>
  <c r="S92" i="539"/>
  <c r="S91" i="539"/>
  <c r="S90" i="539"/>
  <c r="S89" i="539"/>
  <c r="S88" i="539"/>
  <c r="S87" i="539"/>
  <c r="S86" i="539"/>
  <c r="S85" i="539"/>
  <c r="S84" i="539"/>
  <c r="S83" i="539"/>
  <c r="S82" i="539"/>
  <c r="D82" i="539"/>
  <c r="S81" i="539"/>
  <c r="D81" i="539"/>
  <c r="S80" i="539"/>
  <c r="D80" i="539"/>
  <c r="S79" i="539"/>
  <c r="D79" i="539"/>
  <c r="S78" i="539"/>
  <c r="D78" i="539"/>
  <c r="S77" i="539"/>
  <c r="D77" i="539"/>
  <c r="S76" i="539"/>
  <c r="S75" i="539"/>
  <c r="S74" i="539"/>
  <c r="S73" i="539"/>
  <c r="S72" i="539"/>
  <c r="S70" i="539"/>
  <c r="S69" i="539"/>
  <c r="S68" i="539"/>
  <c r="S67" i="539"/>
  <c r="S66" i="539"/>
  <c r="S65" i="539"/>
  <c r="S64" i="539"/>
  <c r="S63" i="539"/>
  <c r="S62" i="539"/>
  <c r="S61" i="539"/>
  <c r="S60" i="539"/>
  <c r="S59" i="539"/>
  <c r="S58" i="539"/>
  <c r="S57" i="539"/>
  <c r="S56" i="539"/>
  <c r="S55" i="539"/>
  <c r="S54" i="539"/>
  <c r="E54" i="539"/>
  <c r="C54" i="539"/>
  <c r="S53" i="539"/>
  <c r="E53" i="539"/>
  <c r="C53" i="539"/>
  <c r="S52" i="539"/>
  <c r="E52" i="539"/>
  <c r="C52" i="539"/>
  <c r="S51" i="539"/>
  <c r="E51" i="539"/>
  <c r="C51" i="539"/>
  <c r="S50" i="539"/>
  <c r="E50" i="539"/>
  <c r="C50" i="539"/>
  <c r="S49" i="539"/>
  <c r="E49" i="539"/>
  <c r="C49" i="539"/>
  <c r="S48" i="539"/>
  <c r="S47" i="539"/>
  <c r="S46" i="539"/>
  <c r="S45" i="539"/>
  <c r="R2" i="539"/>
  <c r="R44" i="539"/>
  <c r="Q2" i="539"/>
  <c r="Q44" i="539"/>
  <c r="P2" i="539"/>
  <c r="P44" i="539"/>
  <c r="O2" i="539"/>
  <c r="O44" i="539"/>
  <c r="N2" i="539"/>
  <c r="N44" i="539"/>
  <c r="M2" i="539"/>
  <c r="M44" i="539"/>
  <c r="L2" i="539"/>
  <c r="L44" i="539"/>
  <c r="K2" i="539"/>
  <c r="K44" i="539"/>
  <c r="J2" i="539"/>
  <c r="J44" i="539"/>
  <c r="I2" i="539"/>
  <c r="I44" i="539"/>
  <c r="H2" i="539"/>
  <c r="H44" i="539"/>
  <c r="G2" i="539"/>
  <c r="G44" i="539"/>
  <c r="A44" i="539"/>
  <c r="R7" i="539"/>
  <c r="Q7" i="539"/>
  <c r="P7" i="539"/>
  <c r="O7" i="539"/>
  <c r="N7" i="539"/>
  <c r="M7" i="539"/>
  <c r="L7" i="539"/>
  <c r="K7" i="539"/>
  <c r="J7" i="539"/>
  <c r="I7" i="539"/>
  <c r="H7" i="539"/>
  <c r="H1" i="539"/>
  <c r="I1" i="539"/>
  <c r="J1" i="539"/>
  <c r="K1" i="539"/>
  <c r="L1" i="539"/>
  <c r="M1" i="539"/>
  <c r="N1" i="539"/>
  <c r="O1" i="539"/>
  <c r="P1" i="539"/>
  <c r="Q1" i="539"/>
  <c r="R1" i="539"/>
  <c r="B74" i="538"/>
  <c r="B75" i="538"/>
  <c r="B76" i="538"/>
  <c r="B77" i="538"/>
  <c r="B78" i="538"/>
  <c r="B79" i="538"/>
  <c r="B80" i="538"/>
  <c r="B81" i="538"/>
  <c r="B82" i="538"/>
  <c r="B83" i="538"/>
  <c r="B84" i="538"/>
  <c r="B85" i="538"/>
  <c r="B86" i="538"/>
  <c r="B87" i="538"/>
  <c r="B88" i="538"/>
  <c r="B89" i="538"/>
  <c r="B90" i="538"/>
  <c r="B91" i="538"/>
  <c r="B92" i="538"/>
  <c r="B93" i="538"/>
  <c r="B94" i="538"/>
  <c r="B95" i="538"/>
  <c r="B96" i="538"/>
  <c r="B97" i="538"/>
  <c r="B98" i="538"/>
  <c r="B99" i="538"/>
  <c r="B100" i="538"/>
  <c r="B101" i="538"/>
  <c r="B102" i="538"/>
  <c r="B103" i="538"/>
  <c r="B104" i="538"/>
  <c r="B105" i="538"/>
  <c r="D205" i="538"/>
  <c r="B173" i="538"/>
  <c r="B174" i="538"/>
  <c r="B175" i="538"/>
  <c r="B176" i="538"/>
  <c r="B177" i="538"/>
  <c r="B178" i="538"/>
  <c r="B179" i="538"/>
  <c r="B180" i="538"/>
  <c r="B181" i="538"/>
  <c r="B182" i="538"/>
  <c r="B183" i="538"/>
  <c r="B184" i="538"/>
  <c r="B185" i="538"/>
  <c r="B186" i="538"/>
  <c r="B187" i="538"/>
  <c r="B188" i="538"/>
  <c r="B189" i="538"/>
  <c r="B190" i="538"/>
  <c r="B191" i="538"/>
  <c r="B192" i="538"/>
  <c r="B193" i="538"/>
  <c r="B194" i="538"/>
  <c r="B195" i="538"/>
  <c r="B196" i="538"/>
  <c r="B197" i="538"/>
  <c r="B198" i="538"/>
  <c r="B199" i="538"/>
  <c r="B200" i="538"/>
  <c r="B201" i="538"/>
  <c r="B202" i="538"/>
  <c r="B203" i="538"/>
  <c r="B204" i="538"/>
  <c r="B205" i="538"/>
  <c r="D204" i="538"/>
  <c r="R203" i="538"/>
  <c r="Q203" i="538"/>
  <c r="P203" i="538"/>
  <c r="O203" i="538"/>
  <c r="N203" i="538"/>
  <c r="M203" i="538"/>
  <c r="L203" i="538"/>
  <c r="K203" i="538"/>
  <c r="J203" i="538"/>
  <c r="I203" i="538"/>
  <c r="H203" i="538"/>
  <c r="G203" i="538"/>
  <c r="D203" i="538"/>
  <c r="R202" i="538"/>
  <c r="Q202" i="538"/>
  <c r="P202" i="538"/>
  <c r="O202" i="538"/>
  <c r="N202" i="538"/>
  <c r="M202" i="538"/>
  <c r="L202" i="538"/>
  <c r="K202" i="538"/>
  <c r="J202" i="538"/>
  <c r="I202" i="538"/>
  <c r="H202" i="538"/>
  <c r="G202" i="538"/>
  <c r="D202" i="538"/>
  <c r="D201" i="538"/>
  <c r="D200" i="538"/>
  <c r="D199" i="538"/>
  <c r="D198" i="538"/>
  <c r="D197" i="538"/>
  <c r="D196" i="538"/>
  <c r="H26" i="538"/>
  <c r="I26" i="538"/>
  <c r="J26" i="538"/>
  <c r="K26" i="538"/>
  <c r="L26" i="538"/>
  <c r="M26" i="538"/>
  <c r="N26" i="538"/>
  <c r="O26" i="538"/>
  <c r="P26" i="538"/>
  <c r="Q26" i="538"/>
  <c r="R26" i="538"/>
  <c r="D195" i="538"/>
  <c r="D194" i="538"/>
  <c r="D193" i="538"/>
  <c r="R64" i="538"/>
  <c r="R102" i="538"/>
  <c r="R90" i="538"/>
  <c r="R91" i="538"/>
  <c r="Q64" i="538"/>
  <c r="Q102" i="538"/>
  <c r="Q90" i="538"/>
  <c r="Q91" i="538"/>
  <c r="P64" i="538"/>
  <c r="P102" i="538"/>
  <c r="P90" i="538"/>
  <c r="P91" i="538"/>
  <c r="O64" i="538"/>
  <c r="O102" i="538"/>
  <c r="O90" i="538"/>
  <c r="O91" i="538"/>
  <c r="N64" i="538"/>
  <c r="N102" i="538"/>
  <c r="N90" i="538"/>
  <c r="N91" i="538"/>
  <c r="M64" i="538"/>
  <c r="M102" i="538"/>
  <c r="M90" i="538"/>
  <c r="M91" i="538"/>
  <c r="L64" i="538"/>
  <c r="L102" i="538"/>
  <c r="L90" i="538"/>
  <c r="L91" i="538"/>
  <c r="K64" i="538"/>
  <c r="K102" i="538"/>
  <c r="K90" i="538"/>
  <c r="K91" i="538"/>
  <c r="J64" i="538"/>
  <c r="J102" i="538"/>
  <c r="J90" i="538"/>
  <c r="J91" i="538"/>
  <c r="I64" i="538"/>
  <c r="I102" i="538"/>
  <c r="I90" i="538"/>
  <c r="I91" i="538"/>
  <c r="H64" i="538"/>
  <c r="H102" i="538"/>
  <c r="H90" i="538"/>
  <c r="H91" i="538"/>
  <c r="G102" i="538"/>
  <c r="G90" i="538"/>
  <c r="G91" i="538"/>
  <c r="D192" i="538"/>
  <c r="D191" i="538"/>
  <c r="D190" i="538"/>
  <c r="D189" i="538"/>
  <c r="R188" i="538"/>
  <c r="Q188" i="538"/>
  <c r="P188" i="538"/>
  <c r="O188" i="538"/>
  <c r="N188" i="538"/>
  <c r="M188" i="538"/>
  <c r="L188" i="538"/>
  <c r="K188" i="538"/>
  <c r="J188" i="538"/>
  <c r="I188" i="538"/>
  <c r="H188" i="538"/>
  <c r="G188" i="538"/>
  <c r="D188" i="538"/>
  <c r="R187" i="538"/>
  <c r="Q187" i="538"/>
  <c r="P187" i="538"/>
  <c r="O187" i="538"/>
  <c r="N187" i="538"/>
  <c r="M187" i="538"/>
  <c r="L187" i="538"/>
  <c r="K187" i="538"/>
  <c r="J187" i="538"/>
  <c r="I187" i="538"/>
  <c r="H187" i="538"/>
  <c r="G187" i="538"/>
  <c r="D187" i="538"/>
  <c r="D186" i="538"/>
  <c r="R185" i="538"/>
  <c r="Q185" i="538"/>
  <c r="P185" i="538"/>
  <c r="O185" i="538"/>
  <c r="N185" i="538"/>
  <c r="M185" i="538"/>
  <c r="L185" i="538"/>
  <c r="K185" i="538"/>
  <c r="J185" i="538"/>
  <c r="I185" i="538"/>
  <c r="H185" i="538"/>
  <c r="G185" i="538"/>
  <c r="D185" i="538"/>
  <c r="R184" i="538"/>
  <c r="Q184" i="538"/>
  <c r="P184" i="538"/>
  <c r="O184" i="538"/>
  <c r="N184" i="538"/>
  <c r="M184" i="538"/>
  <c r="L184" i="538"/>
  <c r="K184" i="538"/>
  <c r="J184" i="538"/>
  <c r="I184" i="538"/>
  <c r="H184" i="538"/>
  <c r="G184" i="538"/>
  <c r="D184" i="538"/>
  <c r="R183" i="538"/>
  <c r="Q183" i="538"/>
  <c r="P183" i="538"/>
  <c r="O183" i="538"/>
  <c r="N183" i="538"/>
  <c r="M183" i="538"/>
  <c r="L183" i="538"/>
  <c r="K183" i="538"/>
  <c r="J183" i="538"/>
  <c r="I183" i="538"/>
  <c r="H183" i="538"/>
  <c r="G183" i="538"/>
  <c r="D183" i="538"/>
  <c r="R182" i="538"/>
  <c r="Q182" i="538"/>
  <c r="P182" i="538"/>
  <c r="O182" i="538"/>
  <c r="N182" i="538"/>
  <c r="M182" i="538"/>
  <c r="L182" i="538"/>
  <c r="K182" i="538"/>
  <c r="J182" i="538"/>
  <c r="I182" i="538"/>
  <c r="H182" i="538"/>
  <c r="G182" i="538"/>
  <c r="D182" i="538"/>
  <c r="R181" i="538"/>
  <c r="Q181" i="538"/>
  <c r="P181" i="538"/>
  <c r="O181" i="538"/>
  <c r="N181" i="538"/>
  <c r="M181" i="538"/>
  <c r="L181" i="538"/>
  <c r="K181" i="538"/>
  <c r="J181" i="538"/>
  <c r="I181" i="538"/>
  <c r="H181" i="538"/>
  <c r="G181" i="538"/>
  <c r="D181" i="538"/>
  <c r="R180" i="538"/>
  <c r="Q180" i="538"/>
  <c r="P180" i="538"/>
  <c r="O180" i="538"/>
  <c r="N180" i="538"/>
  <c r="M180" i="538"/>
  <c r="L180" i="538"/>
  <c r="K180" i="538"/>
  <c r="J180" i="538"/>
  <c r="I180" i="538"/>
  <c r="H180" i="538"/>
  <c r="G180" i="538"/>
  <c r="D180" i="538"/>
  <c r="R179" i="538"/>
  <c r="Q179" i="538"/>
  <c r="P179" i="538"/>
  <c r="O179" i="538"/>
  <c r="N179" i="538"/>
  <c r="M179" i="538"/>
  <c r="L179" i="538"/>
  <c r="K179" i="538"/>
  <c r="J179" i="538"/>
  <c r="I179" i="538"/>
  <c r="H179" i="538"/>
  <c r="G179" i="538"/>
  <c r="D179" i="538"/>
  <c r="R178" i="538"/>
  <c r="Q178" i="538"/>
  <c r="P178" i="538"/>
  <c r="O178" i="538"/>
  <c r="N178" i="538"/>
  <c r="M178" i="538"/>
  <c r="L178" i="538"/>
  <c r="K178" i="538"/>
  <c r="J178" i="538"/>
  <c r="I178" i="538"/>
  <c r="H178" i="538"/>
  <c r="G178" i="538"/>
  <c r="D178" i="538"/>
  <c r="R177" i="538"/>
  <c r="Q177" i="538"/>
  <c r="P177" i="538"/>
  <c r="O177" i="538"/>
  <c r="N177" i="538"/>
  <c r="M177" i="538"/>
  <c r="L177" i="538"/>
  <c r="K177" i="538"/>
  <c r="J177" i="538"/>
  <c r="I177" i="538"/>
  <c r="H177" i="538"/>
  <c r="G177" i="538"/>
  <c r="D177" i="538"/>
  <c r="R176" i="538"/>
  <c r="Q176" i="538"/>
  <c r="P176" i="538"/>
  <c r="O176" i="538"/>
  <c r="N176" i="538"/>
  <c r="M176" i="538"/>
  <c r="L176" i="538"/>
  <c r="K176" i="538"/>
  <c r="J176" i="538"/>
  <c r="I176" i="538"/>
  <c r="H176" i="538"/>
  <c r="G176" i="538"/>
  <c r="D176" i="538"/>
  <c r="R175" i="538"/>
  <c r="Q175" i="538"/>
  <c r="P175" i="538"/>
  <c r="O175" i="538"/>
  <c r="N175" i="538"/>
  <c r="M175" i="538"/>
  <c r="L175" i="538"/>
  <c r="K175" i="538"/>
  <c r="J175" i="538"/>
  <c r="I175" i="538"/>
  <c r="H175" i="538"/>
  <c r="G175" i="538"/>
  <c r="D175" i="538"/>
  <c r="R174" i="538"/>
  <c r="Q174" i="538"/>
  <c r="P174" i="538"/>
  <c r="O174" i="538"/>
  <c r="N174" i="538"/>
  <c r="M174" i="538"/>
  <c r="L174" i="538"/>
  <c r="K174" i="538"/>
  <c r="J174" i="538"/>
  <c r="I174" i="538"/>
  <c r="H174" i="538"/>
  <c r="G174" i="538"/>
  <c r="D174" i="538"/>
  <c r="D173" i="538"/>
  <c r="G64" i="538"/>
  <c r="R172" i="538"/>
  <c r="Q172" i="538"/>
  <c r="P172" i="538"/>
  <c r="O172" i="538"/>
  <c r="N172" i="538"/>
  <c r="M172" i="538"/>
  <c r="L172" i="538"/>
  <c r="K172" i="538"/>
  <c r="J172" i="538"/>
  <c r="I172" i="538"/>
  <c r="H172" i="538"/>
  <c r="G172" i="538"/>
  <c r="R170" i="538"/>
  <c r="Q170" i="538"/>
  <c r="P170" i="538"/>
  <c r="O170" i="538"/>
  <c r="N170" i="538"/>
  <c r="M170" i="538"/>
  <c r="L170" i="538"/>
  <c r="K170" i="538"/>
  <c r="J170" i="538"/>
  <c r="I170" i="538"/>
  <c r="H170" i="538"/>
  <c r="G170" i="538"/>
  <c r="D170" i="538"/>
  <c r="R169" i="538"/>
  <c r="Q169" i="538"/>
  <c r="P169" i="538"/>
  <c r="O169" i="538"/>
  <c r="N169" i="538"/>
  <c r="M169" i="538"/>
  <c r="L169" i="538"/>
  <c r="K169" i="538"/>
  <c r="J169" i="538"/>
  <c r="I169" i="538"/>
  <c r="H169" i="538"/>
  <c r="G169" i="538"/>
  <c r="D169" i="538"/>
  <c r="R168" i="538"/>
  <c r="Q168" i="538"/>
  <c r="P168" i="538"/>
  <c r="O168" i="538"/>
  <c r="N168" i="538"/>
  <c r="M168" i="538"/>
  <c r="L168" i="538"/>
  <c r="K168" i="538"/>
  <c r="J168" i="538"/>
  <c r="I168" i="538"/>
  <c r="H168" i="538"/>
  <c r="G168" i="538"/>
  <c r="D168" i="538"/>
  <c r="D167" i="538"/>
  <c r="R166" i="538"/>
  <c r="Q166" i="538"/>
  <c r="P166" i="538"/>
  <c r="O166" i="538"/>
  <c r="N166" i="538"/>
  <c r="M166" i="538"/>
  <c r="L166" i="538"/>
  <c r="K166" i="538"/>
  <c r="J166" i="538"/>
  <c r="I166" i="538"/>
  <c r="H166" i="538"/>
  <c r="G166" i="538"/>
  <c r="D166" i="538"/>
  <c r="R165" i="538"/>
  <c r="Q165" i="538"/>
  <c r="P165" i="538"/>
  <c r="O165" i="538"/>
  <c r="N165" i="538"/>
  <c r="M165" i="538"/>
  <c r="L165" i="538"/>
  <c r="K165" i="538"/>
  <c r="J165" i="538"/>
  <c r="I165" i="538"/>
  <c r="H165" i="538"/>
  <c r="G165" i="538"/>
  <c r="D165" i="538"/>
  <c r="R164" i="538"/>
  <c r="Q164" i="538"/>
  <c r="P164" i="538"/>
  <c r="O164" i="538"/>
  <c r="N164" i="538"/>
  <c r="M164" i="538"/>
  <c r="L164" i="538"/>
  <c r="K164" i="538"/>
  <c r="J164" i="538"/>
  <c r="I164" i="538"/>
  <c r="H164" i="538"/>
  <c r="G164" i="538"/>
  <c r="D164" i="538"/>
  <c r="R163" i="538"/>
  <c r="Q163" i="538"/>
  <c r="P163" i="538"/>
  <c r="O163" i="538"/>
  <c r="N163" i="538"/>
  <c r="M163" i="538"/>
  <c r="L163" i="538"/>
  <c r="K163" i="538"/>
  <c r="J163" i="538"/>
  <c r="I163" i="538"/>
  <c r="H163" i="538"/>
  <c r="G163" i="538"/>
  <c r="D163" i="538"/>
  <c r="D162" i="538"/>
  <c r="R161" i="538"/>
  <c r="Q161" i="538"/>
  <c r="P161" i="538"/>
  <c r="O161" i="538"/>
  <c r="N161" i="538"/>
  <c r="M161" i="538"/>
  <c r="L161" i="538"/>
  <c r="K161" i="538"/>
  <c r="J161" i="538"/>
  <c r="I161" i="538"/>
  <c r="H161" i="538"/>
  <c r="G161" i="538"/>
  <c r="D161" i="538"/>
  <c r="R160" i="538"/>
  <c r="Q160" i="538"/>
  <c r="P160" i="538"/>
  <c r="O160" i="538"/>
  <c r="N160" i="538"/>
  <c r="M160" i="538"/>
  <c r="L160" i="538"/>
  <c r="K160" i="538"/>
  <c r="J160" i="538"/>
  <c r="I160" i="538"/>
  <c r="H160" i="538"/>
  <c r="G160" i="538"/>
  <c r="D160" i="538"/>
  <c r="R159" i="538"/>
  <c r="Q159" i="538"/>
  <c r="P159" i="538"/>
  <c r="O159" i="538"/>
  <c r="N159" i="538"/>
  <c r="M159" i="538"/>
  <c r="L159" i="538"/>
  <c r="K159" i="538"/>
  <c r="J159" i="538"/>
  <c r="I159" i="538"/>
  <c r="H159" i="538"/>
  <c r="G159" i="538"/>
  <c r="D159" i="538"/>
  <c r="R158" i="538"/>
  <c r="Q158" i="538"/>
  <c r="P158" i="538"/>
  <c r="O158" i="538"/>
  <c r="N158" i="538"/>
  <c r="M158" i="538"/>
  <c r="L158" i="538"/>
  <c r="K158" i="538"/>
  <c r="J158" i="538"/>
  <c r="I158" i="538"/>
  <c r="H158" i="538"/>
  <c r="G158" i="538"/>
  <c r="D158" i="538"/>
  <c r="R157" i="538"/>
  <c r="Q157" i="538"/>
  <c r="P157" i="538"/>
  <c r="O157" i="538"/>
  <c r="N157" i="538"/>
  <c r="M157" i="538"/>
  <c r="L157" i="538"/>
  <c r="K157" i="538"/>
  <c r="J157" i="538"/>
  <c r="I157" i="538"/>
  <c r="H157" i="538"/>
  <c r="G157" i="538"/>
  <c r="D157" i="538"/>
  <c r="R156" i="538"/>
  <c r="Q156" i="538"/>
  <c r="P156" i="538"/>
  <c r="O156" i="538"/>
  <c r="N156" i="538"/>
  <c r="M156" i="538"/>
  <c r="L156" i="538"/>
  <c r="K156" i="538"/>
  <c r="J156" i="538"/>
  <c r="I156" i="538"/>
  <c r="H156" i="538"/>
  <c r="G156" i="538"/>
  <c r="D156" i="538"/>
  <c r="R155" i="538"/>
  <c r="Q155" i="538"/>
  <c r="P155" i="538"/>
  <c r="O155" i="538"/>
  <c r="N155" i="538"/>
  <c r="M155" i="538"/>
  <c r="L155" i="538"/>
  <c r="K155" i="538"/>
  <c r="J155" i="538"/>
  <c r="I155" i="538"/>
  <c r="H155" i="538"/>
  <c r="G155" i="538"/>
  <c r="D155" i="538"/>
  <c r="R154" i="538"/>
  <c r="Q154" i="538"/>
  <c r="P154" i="538"/>
  <c r="O154" i="538"/>
  <c r="N154" i="538"/>
  <c r="M154" i="538"/>
  <c r="L154" i="538"/>
  <c r="K154" i="538"/>
  <c r="J154" i="538"/>
  <c r="I154" i="538"/>
  <c r="H154" i="538"/>
  <c r="G154" i="538"/>
  <c r="D154" i="538"/>
  <c r="R153" i="538"/>
  <c r="Q153" i="538"/>
  <c r="P153" i="538"/>
  <c r="O153" i="538"/>
  <c r="N153" i="538"/>
  <c r="M153" i="538"/>
  <c r="L153" i="538"/>
  <c r="K153" i="538"/>
  <c r="J153" i="538"/>
  <c r="I153" i="538"/>
  <c r="H153" i="538"/>
  <c r="G153" i="538"/>
  <c r="D153" i="538"/>
  <c r="R152" i="538"/>
  <c r="Q152" i="538"/>
  <c r="P152" i="538"/>
  <c r="O152" i="538"/>
  <c r="N152" i="538"/>
  <c r="M152" i="538"/>
  <c r="L152" i="538"/>
  <c r="K152" i="538"/>
  <c r="J152" i="538"/>
  <c r="I152" i="538"/>
  <c r="H152" i="538"/>
  <c r="G152" i="538"/>
  <c r="D152" i="538"/>
  <c r="R151" i="538"/>
  <c r="Q151" i="538"/>
  <c r="P151" i="538"/>
  <c r="O151" i="538"/>
  <c r="N151" i="538"/>
  <c r="M151" i="538"/>
  <c r="L151" i="538"/>
  <c r="K151" i="538"/>
  <c r="J151" i="538"/>
  <c r="I151" i="538"/>
  <c r="H151" i="538"/>
  <c r="G151" i="538"/>
  <c r="D151" i="538"/>
  <c r="G150" i="538"/>
  <c r="D150" i="538"/>
  <c r="G149" i="538"/>
  <c r="D149" i="538"/>
  <c r="G148" i="538"/>
  <c r="D148" i="538"/>
  <c r="N143" i="538"/>
  <c r="M143" i="538"/>
  <c r="L143" i="538"/>
  <c r="K143" i="538"/>
  <c r="J143" i="538"/>
  <c r="I143" i="538"/>
  <c r="H143" i="538"/>
  <c r="G143" i="538"/>
  <c r="G147" i="538"/>
  <c r="D147" i="538"/>
  <c r="G146" i="538"/>
  <c r="D146" i="538"/>
  <c r="R145" i="538"/>
  <c r="Q145" i="538"/>
  <c r="P145" i="538"/>
  <c r="O145" i="538"/>
  <c r="N145" i="538"/>
  <c r="M145" i="538"/>
  <c r="L145" i="538"/>
  <c r="K145" i="538"/>
  <c r="J145" i="538"/>
  <c r="I145" i="538"/>
  <c r="H145" i="538"/>
  <c r="G145" i="538"/>
  <c r="D145" i="538"/>
  <c r="R143" i="538"/>
  <c r="Q143" i="538"/>
  <c r="P143" i="538"/>
  <c r="O143" i="538"/>
  <c r="R142" i="538"/>
  <c r="Q142" i="538"/>
  <c r="P142" i="538"/>
  <c r="O142" i="538"/>
  <c r="N142" i="538"/>
  <c r="M142" i="538"/>
  <c r="L142" i="538"/>
  <c r="K142" i="538"/>
  <c r="J142" i="538"/>
  <c r="I142" i="538"/>
  <c r="H142" i="538"/>
  <c r="G142" i="538"/>
  <c r="R109" i="538"/>
  <c r="R141" i="538"/>
  <c r="Q109" i="538"/>
  <c r="Q141" i="538"/>
  <c r="P109" i="538"/>
  <c r="P141" i="538"/>
  <c r="O109" i="538"/>
  <c r="O141" i="538"/>
  <c r="N109" i="538"/>
  <c r="N141" i="538"/>
  <c r="M109" i="538"/>
  <c r="M141" i="538"/>
  <c r="L109" i="538"/>
  <c r="L141" i="538"/>
  <c r="K109" i="538"/>
  <c r="K141" i="538"/>
  <c r="J109" i="538"/>
  <c r="J141" i="538"/>
  <c r="I109" i="538"/>
  <c r="I141" i="538"/>
  <c r="H109" i="538"/>
  <c r="H141" i="538"/>
  <c r="G109" i="538"/>
  <c r="G141" i="538"/>
  <c r="R139" i="538"/>
  <c r="Q139" i="538"/>
  <c r="P139" i="538"/>
  <c r="O139" i="538"/>
  <c r="N139" i="538"/>
  <c r="M139" i="538"/>
  <c r="L139" i="538"/>
  <c r="K139" i="538"/>
  <c r="J139" i="538"/>
  <c r="I139" i="538"/>
  <c r="H139" i="538"/>
  <c r="G139" i="538"/>
  <c r="G121" i="538"/>
  <c r="G122" i="538"/>
  <c r="G123" i="538"/>
  <c r="I123" i="538"/>
  <c r="I124" i="538"/>
  <c r="H123" i="538"/>
  <c r="H124" i="538"/>
  <c r="G124" i="538"/>
  <c r="I122" i="538"/>
  <c r="B106" i="538"/>
  <c r="B107" i="538"/>
  <c r="B108" i="538"/>
  <c r="B109" i="538"/>
  <c r="B110" i="538"/>
  <c r="B111" i="538"/>
  <c r="B112" i="538"/>
  <c r="B113" i="538"/>
  <c r="S107" i="538"/>
  <c r="S106" i="538"/>
  <c r="G65" i="538"/>
  <c r="G66" i="538"/>
  <c r="G67" i="538"/>
  <c r="G73" i="538"/>
  <c r="G92" i="538"/>
  <c r="G93" i="538"/>
  <c r="G94" i="538"/>
  <c r="G95" i="538"/>
  <c r="G104" i="538"/>
  <c r="G105" i="538"/>
  <c r="H65" i="538"/>
  <c r="H66" i="538"/>
  <c r="H67" i="538"/>
  <c r="H73" i="538"/>
  <c r="H92" i="538"/>
  <c r="H93" i="538"/>
  <c r="H27" i="538"/>
  <c r="H94" i="538"/>
  <c r="H95" i="538"/>
  <c r="H104" i="538"/>
  <c r="H105" i="538"/>
  <c r="I65" i="538"/>
  <c r="I66" i="538"/>
  <c r="I67" i="538"/>
  <c r="I73" i="538"/>
  <c r="I92" i="538"/>
  <c r="I93" i="538"/>
  <c r="I27" i="538"/>
  <c r="I94" i="538"/>
  <c r="I95" i="538"/>
  <c r="I104" i="538"/>
  <c r="I105" i="538"/>
  <c r="J65" i="538"/>
  <c r="J66" i="538"/>
  <c r="J67" i="538"/>
  <c r="J73" i="538"/>
  <c r="J92" i="538"/>
  <c r="J93" i="538"/>
  <c r="J27" i="538"/>
  <c r="J94" i="538"/>
  <c r="J95" i="538"/>
  <c r="J104" i="538"/>
  <c r="J105" i="538"/>
  <c r="K65" i="538"/>
  <c r="K66" i="538"/>
  <c r="K67" i="538"/>
  <c r="K73" i="538"/>
  <c r="K92" i="538"/>
  <c r="K93" i="538"/>
  <c r="K27" i="538"/>
  <c r="K94" i="538"/>
  <c r="K95" i="538"/>
  <c r="K104" i="538"/>
  <c r="K105" i="538"/>
  <c r="L65" i="538"/>
  <c r="L66" i="538"/>
  <c r="L67" i="538"/>
  <c r="L73" i="538"/>
  <c r="L92" i="538"/>
  <c r="L93" i="538"/>
  <c r="L27" i="538"/>
  <c r="L94" i="538"/>
  <c r="L95" i="538"/>
  <c r="L104" i="538"/>
  <c r="L105" i="538"/>
  <c r="M65" i="538"/>
  <c r="M66" i="538"/>
  <c r="M67" i="538"/>
  <c r="M73" i="538"/>
  <c r="M92" i="538"/>
  <c r="M93" i="538"/>
  <c r="M27" i="538"/>
  <c r="M94" i="538"/>
  <c r="M95" i="538"/>
  <c r="M104" i="538"/>
  <c r="M105" i="538"/>
  <c r="N65" i="538"/>
  <c r="N66" i="538"/>
  <c r="N67" i="538"/>
  <c r="N73" i="538"/>
  <c r="N92" i="538"/>
  <c r="N93" i="538"/>
  <c r="N27" i="538"/>
  <c r="N94" i="538"/>
  <c r="N95" i="538"/>
  <c r="N104" i="538"/>
  <c r="N105" i="538"/>
  <c r="O65" i="538"/>
  <c r="O66" i="538"/>
  <c r="O67" i="538"/>
  <c r="O73" i="538"/>
  <c r="O92" i="538"/>
  <c r="O93" i="538"/>
  <c r="O27" i="538"/>
  <c r="O94" i="538"/>
  <c r="O95" i="538"/>
  <c r="O104" i="538"/>
  <c r="O105" i="538"/>
  <c r="P65" i="538"/>
  <c r="P66" i="538"/>
  <c r="P67" i="538"/>
  <c r="P73" i="538"/>
  <c r="P92" i="538"/>
  <c r="P93" i="538"/>
  <c r="P27" i="538"/>
  <c r="P94" i="538"/>
  <c r="P95" i="538"/>
  <c r="P104" i="538"/>
  <c r="P105" i="538"/>
  <c r="Q65" i="538"/>
  <c r="Q66" i="538"/>
  <c r="Q67" i="538"/>
  <c r="Q73" i="538"/>
  <c r="Q92" i="538"/>
  <c r="Q93" i="538"/>
  <c r="Q27" i="538"/>
  <c r="Q94" i="538"/>
  <c r="Q95" i="538"/>
  <c r="Q104" i="538"/>
  <c r="Q105" i="538"/>
  <c r="R65" i="538"/>
  <c r="R66" i="538"/>
  <c r="R67" i="538"/>
  <c r="R73" i="538"/>
  <c r="R92" i="538"/>
  <c r="R93" i="538"/>
  <c r="R27" i="538"/>
  <c r="R94" i="538"/>
  <c r="R95" i="538"/>
  <c r="R104" i="538"/>
  <c r="R105" i="538"/>
  <c r="S105" i="538"/>
  <c r="S104" i="538"/>
  <c r="G103" i="538"/>
  <c r="H103" i="538"/>
  <c r="I103" i="538"/>
  <c r="J103" i="538"/>
  <c r="K103" i="538"/>
  <c r="L103" i="538"/>
  <c r="M103" i="538"/>
  <c r="N103" i="538"/>
  <c r="O103" i="538"/>
  <c r="P103" i="538"/>
  <c r="Q103" i="538"/>
  <c r="R103" i="538"/>
  <c r="S103" i="538"/>
  <c r="S102" i="538"/>
  <c r="G98" i="538"/>
  <c r="G99" i="538"/>
  <c r="G101" i="538"/>
  <c r="H98" i="538"/>
  <c r="H99" i="538"/>
  <c r="H101" i="538"/>
  <c r="I98" i="538"/>
  <c r="I99" i="538"/>
  <c r="I101" i="538"/>
  <c r="J98" i="538"/>
  <c r="J99" i="538"/>
  <c r="J101" i="538"/>
  <c r="K98" i="538"/>
  <c r="K99" i="538"/>
  <c r="K101" i="538"/>
  <c r="L98" i="538"/>
  <c r="L99" i="538"/>
  <c r="L101" i="538"/>
  <c r="M98" i="538"/>
  <c r="M99" i="538"/>
  <c r="M101" i="538"/>
  <c r="N98" i="538"/>
  <c r="N99" i="538"/>
  <c r="N101" i="538"/>
  <c r="O98" i="538"/>
  <c r="O99" i="538"/>
  <c r="O101" i="538"/>
  <c r="P98" i="538"/>
  <c r="P99" i="538"/>
  <c r="P101" i="538"/>
  <c r="Q98" i="538"/>
  <c r="Q99" i="538"/>
  <c r="Q101" i="538"/>
  <c r="R98" i="538"/>
  <c r="R99" i="538"/>
  <c r="R101" i="538"/>
  <c r="S101" i="538"/>
  <c r="G100" i="538"/>
  <c r="H100" i="538"/>
  <c r="I100" i="538"/>
  <c r="J100" i="538"/>
  <c r="K100" i="538"/>
  <c r="L100" i="538"/>
  <c r="M100" i="538"/>
  <c r="N100" i="538"/>
  <c r="O100" i="538"/>
  <c r="P100" i="538"/>
  <c r="Q100" i="538"/>
  <c r="R100" i="538"/>
  <c r="S100" i="538"/>
  <c r="S99" i="538"/>
  <c r="S98" i="538"/>
  <c r="S97" i="538"/>
  <c r="S95" i="538"/>
  <c r="S93" i="538"/>
  <c r="S92" i="538"/>
  <c r="S91" i="538"/>
  <c r="S90" i="538"/>
  <c r="S89" i="538"/>
  <c r="S88" i="538"/>
  <c r="S87" i="538"/>
  <c r="S86" i="538"/>
  <c r="S85" i="538"/>
  <c r="S84" i="538"/>
  <c r="S83" i="538"/>
  <c r="S82" i="538"/>
  <c r="D82" i="538"/>
  <c r="S81" i="538"/>
  <c r="D81" i="538"/>
  <c r="S80" i="538"/>
  <c r="D80" i="538"/>
  <c r="S79" i="538"/>
  <c r="D79" i="538"/>
  <c r="S78" i="538"/>
  <c r="D78" i="538"/>
  <c r="S77" i="538"/>
  <c r="D77" i="538"/>
  <c r="S76" i="538"/>
  <c r="S75" i="538"/>
  <c r="S74" i="538"/>
  <c r="S73" i="538"/>
  <c r="S72" i="538"/>
  <c r="S70" i="538"/>
  <c r="S69" i="538"/>
  <c r="S68" i="538"/>
  <c r="S67" i="538"/>
  <c r="S66" i="538"/>
  <c r="S65" i="538"/>
  <c r="S64" i="538"/>
  <c r="S63" i="538"/>
  <c r="S62" i="538"/>
  <c r="S61" i="538"/>
  <c r="S60" i="538"/>
  <c r="S59" i="538"/>
  <c r="S58" i="538"/>
  <c r="S57" i="538"/>
  <c r="S56" i="538"/>
  <c r="S55" i="538"/>
  <c r="S54" i="538"/>
  <c r="E54" i="538"/>
  <c r="C54" i="538"/>
  <c r="S53" i="538"/>
  <c r="E53" i="538"/>
  <c r="C53" i="538"/>
  <c r="S52" i="538"/>
  <c r="E52" i="538"/>
  <c r="C52" i="538"/>
  <c r="S51" i="538"/>
  <c r="E51" i="538"/>
  <c r="C51" i="538"/>
  <c r="S50" i="538"/>
  <c r="E50" i="538"/>
  <c r="C50" i="538"/>
  <c r="S49" i="538"/>
  <c r="E49" i="538"/>
  <c r="C49" i="538"/>
  <c r="S48" i="538"/>
  <c r="S47" i="538"/>
  <c r="S46" i="538"/>
  <c r="S45" i="538"/>
  <c r="R2" i="538"/>
  <c r="R44" i="538"/>
  <c r="Q2" i="538"/>
  <c r="Q44" i="538"/>
  <c r="P2" i="538"/>
  <c r="P44" i="538"/>
  <c r="O2" i="538"/>
  <c r="O44" i="538"/>
  <c r="N2" i="538"/>
  <c r="N44" i="538"/>
  <c r="M2" i="538"/>
  <c r="M44" i="538"/>
  <c r="L2" i="538"/>
  <c r="L44" i="538"/>
  <c r="K2" i="538"/>
  <c r="K44" i="538"/>
  <c r="J2" i="538"/>
  <c r="J44" i="538"/>
  <c r="I2" i="538"/>
  <c r="I44" i="538"/>
  <c r="H2" i="538"/>
  <c r="H44" i="538"/>
  <c r="G2" i="538"/>
  <c r="G44" i="538"/>
  <c r="A44" i="538"/>
  <c r="R7" i="538"/>
  <c r="Q7" i="538"/>
  <c r="P7" i="538"/>
  <c r="O7" i="538"/>
  <c r="N7" i="538"/>
  <c r="M7" i="538"/>
  <c r="L7" i="538"/>
  <c r="K7" i="538"/>
  <c r="J7" i="538"/>
  <c r="I7" i="538"/>
  <c r="H7" i="538"/>
  <c r="H1" i="538"/>
  <c r="I1" i="538"/>
  <c r="J1" i="538"/>
  <c r="K1" i="538"/>
  <c r="L1" i="538"/>
  <c r="M1" i="538"/>
  <c r="N1" i="538"/>
  <c r="O1" i="538"/>
  <c r="P1" i="538"/>
  <c r="Q1" i="538"/>
  <c r="R1" i="538"/>
  <c r="B74" i="537"/>
  <c r="B75" i="537"/>
  <c r="B76" i="537"/>
  <c r="B77" i="537"/>
  <c r="B78" i="537"/>
  <c r="B79" i="537"/>
  <c r="B80" i="537"/>
  <c r="B81" i="537"/>
  <c r="B82" i="537"/>
  <c r="B83" i="537"/>
  <c r="B84" i="537"/>
  <c r="B85" i="537"/>
  <c r="B86" i="537"/>
  <c r="B87" i="537"/>
  <c r="B88" i="537"/>
  <c r="B89" i="537"/>
  <c r="B90" i="537"/>
  <c r="B91" i="537"/>
  <c r="B92" i="537"/>
  <c r="B93" i="537"/>
  <c r="B94" i="537"/>
  <c r="B95" i="537"/>
  <c r="B96" i="537"/>
  <c r="B97" i="537"/>
  <c r="B98" i="537"/>
  <c r="B99" i="537"/>
  <c r="B100" i="537"/>
  <c r="B101" i="537"/>
  <c r="B102" i="537"/>
  <c r="B103" i="537"/>
  <c r="B104" i="537"/>
  <c r="B105" i="537"/>
  <c r="D205" i="537"/>
  <c r="B173" i="537"/>
  <c r="B174" i="537"/>
  <c r="B175" i="537"/>
  <c r="B176" i="537"/>
  <c r="B177" i="537"/>
  <c r="B178" i="537"/>
  <c r="B179" i="537"/>
  <c r="B180" i="537"/>
  <c r="B181" i="537"/>
  <c r="B182" i="537"/>
  <c r="B183" i="537"/>
  <c r="B184" i="537"/>
  <c r="B185" i="537"/>
  <c r="B186" i="537"/>
  <c r="B187" i="537"/>
  <c r="B188" i="537"/>
  <c r="B189" i="537"/>
  <c r="B190" i="537"/>
  <c r="B191" i="537"/>
  <c r="B192" i="537"/>
  <c r="B193" i="537"/>
  <c r="B194" i="537"/>
  <c r="B195" i="537"/>
  <c r="B196" i="537"/>
  <c r="B197" i="537"/>
  <c r="B198" i="537"/>
  <c r="B199" i="537"/>
  <c r="B200" i="537"/>
  <c r="B201" i="537"/>
  <c r="B202" i="537"/>
  <c r="B203" i="537"/>
  <c r="B204" i="537"/>
  <c r="B205" i="537"/>
  <c r="D204" i="537"/>
  <c r="R203" i="537"/>
  <c r="Q203" i="537"/>
  <c r="P203" i="537"/>
  <c r="O203" i="537"/>
  <c r="N203" i="537"/>
  <c r="M203" i="537"/>
  <c r="L203" i="537"/>
  <c r="K203" i="537"/>
  <c r="J203" i="537"/>
  <c r="I203" i="537"/>
  <c r="H203" i="537"/>
  <c r="G203" i="537"/>
  <c r="D203" i="537"/>
  <c r="R202" i="537"/>
  <c r="Q202" i="537"/>
  <c r="P202" i="537"/>
  <c r="O202" i="537"/>
  <c r="N202" i="537"/>
  <c r="M202" i="537"/>
  <c r="L202" i="537"/>
  <c r="K202" i="537"/>
  <c r="J202" i="537"/>
  <c r="I202" i="537"/>
  <c r="H202" i="537"/>
  <c r="G202" i="537"/>
  <c r="D202" i="537"/>
  <c r="D201" i="537"/>
  <c r="D200" i="537"/>
  <c r="D199" i="537"/>
  <c r="D198" i="537"/>
  <c r="D197" i="537"/>
  <c r="D196" i="537"/>
  <c r="H26" i="537"/>
  <c r="I26" i="537"/>
  <c r="J26" i="537"/>
  <c r="K26" i="537"/>
  <c r="L26" i="537"/>
  <c r="M26" i="537"/>
  <c r="N26" i="537"/>
  <c r="O26" i="537"/>
  <c r="P26" i="537"/>
  <c r="Q26" i="537"/>
  <c r="R26" i="537"/>
  <c r="D195" i="537"/>
  <c r="D194" i="537"/>
  <c r="D193" i="537"/>
  <c r="R64" i="537"/>
  <c r="R102" i="537"/>
  <c r="R90" i="537"/>
  <c r="R91" i="537"/>
  <c r="Q64" i="537"/>
  <c r="Q102" i="537"/>
  <c r="Q90" i="537"/>
  <c r="Q91" i="537"/>
  <c r="P64" i="537"/>
  <c r="P102" i="537"/>
  <c r="P90" i="537"/>
  <c r="P91" i="537"/>
  <c r="O64" i="537"/>
  <c r="O102" i="537"/>
  <c r="O90" i="537"/>
  <c r="O91" i="537"/>
  <c r="N64" i="537"/>
  <c r="N102" i="537"/>
  <c r="N90" i="537"/>
  <c r="N91" i="537"/>
  <c r="M64" i="537"/>
  <c r="M102" i="537"/>
  <c r="M90" i="537"/>
  <c r="M91" i="537"/>
  <c r="L64" i="537"/>
  <c r="L102" i="537"/>
  <c r="L90" i="537"/>
  <c r="L91" i="537"/>
  <c r="K64" i="537"/>
  <c r="K102" i="537"/>
  <c r="K90" i="537"/>
  <c r="K91" i="537"/>
  <c r="J64" i="537"/>
  <c r="J102" i="537"/>
  <c r="J90" i="537"/>
  <c r="J91" i="537"/>
  <c r="I64" i="537"/>
  <c r="I102" i="537"/>
  <c r="I90" i="537"/>
  <c r="I91" i="537"/>
  <c r="H64" i="537"/>
  <c r="H102" i="537"/>
  <c r="H90" i="537"/>
  <c r="H91" i="537"/>
  <c r="G102" i="537"/>
  <c r="G90" i="537"/>
  <c r="G91" i="537"/>
  <c r="D192" i="537"/>
  <c r="D191" i="537"/>
  <c r="D190" i="537"/>
  <c r="D189" i="537"/>
  <c r="R188" i="537"/>
  <c r="Q188" i="537"/>
  <c r="P188" i="537"/>
  <c r="O188" i="537"/>
  <c r="N188" i="537"/>
  <c r="M188" i="537"/>
  <c r="L188" i="537"/>
  <c r="K188" i="537"/>
  <c r="J188" i="537"/>
  <c r="I188" i="537"/>
  <c r="H188" i="537"/>
  <c r="G188" i="537"/>
  <c r="D188" i="537"/>
  <c r="R187" i="537"/>
  <c r="Q187" i="537"/>
  <c r="P187" i="537"/>
  <c r="O187" i="537"/>
  <c r="N187" i="537"/>
  <c r="M187" i="537"/>
  <c r="L187" i="537"/>
  <c r="K187" i="537"/>
  <c r="J187" i="537"/>
  <c r="I187" i="537"/>
  <c r="H187" i="537"/>
  <c r="G187" i="537"/>
  <c r="D187" i="537"/>
  <c r="D186" i="537"/>
  <c r="R185" i="537"/>
  <c r="Q185" i="537"/>
  <c r="P185" i="537"/>
  <c r="O185" i="537"/>
  <c r="N185" i="537"/>
  <c r="M185" i="537"/>
  <c r="L185" i="537"/>
  <c r="K185" i="537"/>
  <c r="J185" i="537"/>
  <c r="I185" i="537"/>
  <c r="H185" i="537"/>
  <c r="G185" i="537"/>
  <c r="D185" i="537"/>
  <c r="R184" i="537"/>
  <c r="Q184" i="537"/>
  <c r="P184" i="537"/>
  <c r="O184" i="537"/>
  <c r="N184" i="537"/>
  <c r="M184" i="537"/>
  <c r="L184" i="537"/>
  <c r="K184" i="537"/>
  <c r="J184" i="537"/>
  <c r="I184" i="537"/>
  <c r="H184" i="537"/>
  <c r="G184" i="537"/>
  <c r="D184" i="537"/>
  <c r="R183" i="537"/>
  <c r="Q183" i="537"/>
  <c r="P183" i="537"/>
  <c r="O183" i="537"/>
  <c r="N183" i="537"/>
  <c r="M183" i="537"/>
  <c r="L183" i="537"/>
  <c r="K183" i="537"/>
  <c r="J183" i="537"/>
  <c r="I183" i="537"/>
  <c r="H183" i="537"/>
  <c r="G183" i="537"/>
  <c r="D183" i="537"/>
  <c r="R182" i="537"/>
  <c r="Q182" i="537"/>
  <c r="P182" i="537"/>
  <c r="O182" i="537"/>
  <c r="N182" i="537"/>
  <c r="M182" i="537"/>
  <c r="L182" i="537"/>
  <c r="K182" i="537"/>
  <c r="J182" i="537"/>
  <c r="I182" i="537"/>
  <c r="H182" i="537"/>
  <c r="G182" i="537"/>
  <c r="D182" i="537"/>
  <c r="R181" i="537"/>
  <c r="Q181" i="537"/>
  <c r="P181" i="537"/>
  <c r="O181" i="537"/>
  <c r="N181" i="537"/>
  <c r="M181" i="537"/>
  <c r="L181" i="537"/>
  <c r="K181" i="537"/>
  <c r="J181" i="537"/>
  <c r="I181" i="537"/>
  <c r="H181" i="537"/>
  <c r="G181" i="537"/>
  <c r="D181" i="537"/>
  <c r="R180" i="537"/>
  <c r="Q180" i="537"/>
  <c r="P180" i="537"/>
  <c r="O180" i="537"/>
  <c r="N180" i="537"/>
  <c r="M180" i="537"/>
  <c r="L180" i="537"/>
  <c r="K180" i="537"/>
  <c r="J180" i="537"/>
  <c r="I180" i="537"/>
  <c r="H180" i="537"/>
  <c r="G180" i="537"/>
  <c r="D180" i="537"/>
  <c r="R179" i="537"/>
  <c r="Q179" i="537"/>
  <c r="P179" i="537"/>
  <c r="O179" i="537"/>
  <c r="N179" i="537"/>
  <c r="M179" i="537"/>
  <c r="L179" i="537"/>
  <c r="K179" i="537"/>
  <c r="J179" i="537"/>
  <c r="I179" i="537"/>
  <c r="H179" i="537"/>
  <c r="G179" i="537"/>
  <c r="D179" i="537"/>
  <c r="R178" i="537"/>
  <c r="Q178" i="537"/>
  <c r="P178" i="537"/>
  <c r="O178" i="537"/>
  <c r="N178" i="537"/>
  <c r="M178" i="537"/>
  <c r="L178" i="537"/>
  <c r="K178" i="537"/>
  <c r="J178" i="537"/>
  <c r="I178" i="537"/>
  <c r="H178" i="537"/>
  <c r="G178" i="537"/>
  <c r="D178" i="537"/>
  <c r="R177" i="537"/>
  <c r="Q177" i="537"/>
  <c r="P177" i="537"/>
  <c r="O177" i="537"/>
  <c r="N177" i="537"/>
  <c r="M177" i="537"/>
  <c r="L177" i="537"/>
  <c r="K177" i="537"/>
  <c r="J177" i="537"/>
  <c r="I177" i="537"/>
  <c r="H177" i="537"/>
  <c r="G177" i="537"/>
  <c r="D177" i="537"/>
  <c r="R176" i="537"/>
  <c r="Q176" i="537"/>
  <c r="P176" i="537"/>
  <c r="O176" i="537"/>
  <c r="N176" i="537"/>
  <c r="M176" i="537"/>
  <c r="L176" i="537"/>
  <c r="K176" i="537"/>
  <c r="J176" i="537"/>
  <c r="I176" i="537"/>
  <c r="H176" i="537"/>
  <c r="G176" i="537"/>
  <c r="D176" i="537"/>
  <c r="R175" i="537"/>
  <c r="Q175" i="537"/>
  <c r="P175" i="537"/>
  <c r="O175" i="537"/>
  <c r="N175" i="537"/>
  <c r="M175" i="537"/>
  <c r="L175" i="537"/>
  <c r="K175" i="537"/>
  <c r="J175" i="537"/>
  <c r="I175" i="537"/>
  <c r="H175" i="537"/>
  <c r="G175" i="537"/>
  <c r="D175" i="537"/>
  <c r="R174" i="537"/>
  <c r="Q174" i="537"/>
  <c r="P174" i="537"/>
  <c r="O174" i="537"/>
  <c r="N174" i="537"/>
  <c r="M174" i="537"/>
  <c r="L174" i="537"/>
  <c r="K174" i="537"/>
  <c r="J174" i="537"/>
  <c r="I174" i="537"/>
  <c r="H174" i="537"/>
  <c r="G174" i="537"/>
  <c r="D174" i="537"/>
  <c r="D173" i="537"/>
  <c r="G64" i="537"/>
  <c r="R172" i="537"/>
  <c r="Q172" i="537"/>
  <c r="P172" i="537"/>
  <c r="O172" i="537"/>
  <c r="N172" i="537"/>
  <c r="M172" i="537"/>
  <c r="L172" i="537"/>
  <c r="K172" i="537"/>
  <c r="J172" i="537"/>
  <c r="I172" i="537"/>
  <c r="H172" i="537"/>
  <c r="G172" i="537"/>
  <c r="R170" i="537"/>
  <c r="Q170" i="537"/>
  <c r="P170" i="537"/>
  <c r="O170" i="537"/>
  <c r="N170" i="537"/>
  <c r="M170" i="537"/>
  <c r="L170" i="537"/>
  <c r="K170" i="537"/>
  <c r="J170" i="537"/>
  <c r="I170" i="537"/>
  <c r="H170" i="537"/>
  <c r="G170" i="537"/>
  <c r="D170" i="537"/>
  <c r="R169" i="537"/>
  <c r="Q169" i="537"/>
  <c r="P169" i="537"/>
  <c r="O169" i="537"/>
  <c r="N169" i="537"/>
  <c r="M169" i="537"/>
  <c r="L169" i="537"/>
  <c r="K169" i="537"/>
  <c r="J169" i="537"/>
  <c r="I169" i="537"/>
  <c r="H169" i="537"/>
  <c r="G169" i="537"/>
  <c r="D169" i="537"/>
  <c r="R168" i="537"/>
  <c r="Q168" i="537"/>
  <c r="P168" i="537"/>
  <c r="O168" i="537"/>
  <c r="N168" i="537"/>
  <c r="M168" i="537"/>
  <c r="L168" i="537"/>
  <c r="K168" i="537"/>
  <c r="J168" i="537"/>
  <c r="I168" i="537"/>
  <c r="H168" i="537"/>
  <c r="G168" i="537"/>
  <c r="D168" i="537"/>
  <c r="D167" i="537"/>
  <c r="R166" i="537"/>
  <c r="Q166" i="537"/>
  <c r="P166" i="537"/>
  <c r="O166" i="537"/>
  <c r="N166" i="537"/>
  <c r="M166" i="537"/>
  <c r="L166" i="537"/>
  <c r="K166" i="537"/>
  <c r="J166" i="537"/>
  <c r="I166" i="537"/>
  <c r="H166" i="537"/>
  <c r="G166" i="537"/>
  <c r="D166" i="537"/>
  <c r="R165" i="537"/>
  <c r="Q165" i="537"/>
  <c r="P165" i="537"/>
  <c r="O165" i="537"/>
  <c r="N165" i="537"/>
  <c r="M165" i="537"/>
  <c r="L165" i="537"/>
  <c r="K165" i="537"/>
  <c r="J165" i="537"/>
  <c r="I165" i="537"/>
  <c r="H165" i="537"/>
  <c r="G165" i="537"/>
  <c r="D165" i="537"/>
  <c r="R164" i="537"/>
  <c r="Q164" i="537"/>
  <c r="P164" i="537"/>
  <c r="O164" i="537"/>
  <c r="N164" i="537"/>
  <c r="M164" i="537"/>
  <c r="L164" i="537"/>
  <c r="K164" i="537"/>
  <c r="J164" i="537"/>
  <c r="I164" i="537"/>
  <c r="H164" i="537"/>
  <c r="G164" i="537"/>
  <c r="D164" i="537"/>
  <c r="R163" i="537"/>
  <c r="Q163" i="537"/>
  <c r="P163" i="537"/>
  <c r="O163" i="537"/>
  <c r="N163" i="537"/>
  <c r="M163" i="537"/>
  <c r="L163" i="537"/>
  <c r="K163" i="537"/>
  <c r="J163" i="537"/>
  <c r="I163" i="537"/>
  <c r="H163" i="537"/>
  <c r="G163" i="537"/>
  <c r="D163" i="537"/>
  <c r="D162" i="537"/>
  <c r="R161" i="537"/>
  <c r="Q161" i="537"/>
  <c r="P161" i="537"/>
  <c r="O161" i="537"/>
  <c r="N161" i="537"/>
  <c r="M161" i="537"/>
  <c r="L161" i="537"/>
  <c r="K161" i="537"/>
  <c r="J161" i="537"/>
  <c r="I161" i="537"/>
  <c r="H161" i="537"/>
  <c r="G161" i="537"/>
  <c r="D161" i="537"/>
  <c r="R160" i="537"/>
  <c r="Q160" i="537"/>
  <c r="P160" i="537"/>
  <c r="O160" i="537"/>
  <c r="N160" i="537"/>
  <c r="M160" i="537"/>
  <c r="L160" i="537"/>
  <c r="K160" i="537"/>
  <c r="J160" i="537"/>
  <c r="I160" i="537"/>
  <c r="H160" i="537"/>
  <c r="G160" i="537"/>
  <c r="D160" i="537"/>
  <c r="R159" i="537"/>
  <c r="Q159" i="537"/>
  <c r="P159" i="537"/>
  <c r="O159" i="537"/>
  <c r="N159" i="537"/>
  <c r="M159" i="537"/>
  <c r="L159" i="537"/>
  <c r="K159" i="537"/>
  <c r="J159" i="537"/>
  <c r="I159" i="537"/>
  <c r="H159" i="537"/>
  <c r="G159" i="537"/>
  <c r="D159" i="537"/>
  <c r="R158" i="537"/>
  <c r="Q158" i="537"/>
  <c r="P158" i="537"/>
  <c r="O158" i="537"/>
  <c r="N158" i="537"/>
  <c r="M158" i="537"/>
  <c r="L158" i="537"/>
  <c r="K158" i="537"/>
  <c r="J158" i="537"/>
  <c r="I158" i="537"/>
  <c r="H158" i="537"/>
  <c r="G158" i="537"/>
  <c r="D158" i="537"/>
  <c r="R157" i="537"/>
  <c r="Q157" i="537"/>
  <c r="P157" i="537"/>
  <c r="O157" i="537"/>
  <c r="N157" i="537"/>
  <c r="M157" i="537"/>
  <c r="L157" i="537"/>
  <c r="K157" i="537"/>
  <c r="J157" i="537"/>
  <c r="I157" i="537"/>
  <c r="H157" i="537"/>
  <c r="G157" i="537"/>
  <c r="D157" i="537"/>
  <c r="R156" i="537"/>
  <c r="Q156" i="537"/>
  <c r="P156" i="537"/>
  <c r="O156" i="537"/>
  <c r="N156" i="537"/>
  <c r="M156" i="537"/>
  <c r="L156" i="537"/>
  <c r="K156" i="537"/>
  <c r="J156" i="537"/>
  <c r="I156" i="537"/>
  <c r="H156" i="537"/>
  <c r="G156" i="537"/>
  <c r="D156" i="537"/>
  <c r="R155" i="537"/>
  <c r="Q155" i="537"/>
  <c r="P155" i="537"/>
  <c r="O155" i="537"/>
  <c r="N155" i="537"/>
  <c r="M155" i="537"/>
  <c r="L155" i="537"/>
  <c r="K155" i="537"/>
  <c r="J155" i="537"/>
  <c r="I155" i="537"/>
  <c r="H155" i="537"/>
  <c r="G155" i="537"/>
  <c r="D155" i="537"/>
  <c r="R154" i="537"/>
  <c r="Q154" i="537"/>
  <c r="P154" i="537"/>
  <c r="O154" i="537"/>
  <c r="N154" i="537"/>
  <c r="M154" i="537"/>
  <c r="L154" i="537"/>
  <c r="K154" i="537"/>
  <c r="J154" i="537"/>
  <c r="I154" i="537"/>
  <c r="H154" i="537"/>
  <c r="G154" i="537"/>
  <c r="D154" i="537"/>
  <c r="R153" i="537"/>
  <c r="Q153" i="537"/>
  <c r="P153" i="537"/>
  <c r="O153" i="537"/>
  <c r="N153" i="537"/>
  <c r="M153" i="537"/>
  <c r="L153" i="537"/>
  <c r="K153" i="537"/>
  <c r="J153" i="537"/>
  <c r="I153" i="537"/>
  <c r="H153" i="537"/>
  <c r="G153" i="537"/>
  <c r="D153" i="537"/>
  <c r="R152" i="537"/>
  <c r="Q152" i="537"/>
  <c r="P152" i="537"/>
  <c r="O152" i="537"/>
  <c r="N152" i="537"/>
  <c r="M152" i="537"/>
  <c r="L152" i="537"/>
  <c r="K152" i="537"/>
  <c r="J152" i="537"/>
  <c r="I152" i="537"/>
  <c r="H152" i="537"/>
  <c r="G152" i="537"/>
  <c r="D152" i="537"/>
  <c r="R151" i="537"/>
  <c r="Q151" i="537"/>
  <c r="P151" i="537"/>
  <c r="O151" i="537"/>
  <c r="N151" i="537"/>
  <c r="M151" i="537"/>
  <c r="L151" i="537"/>
  <c r="K151" i="537"/>
  <c r="J151" i="537"/>
  <c r="I151" i="537"/>
  <c r="H151" i="537"/>
  <c r="G151" i="537"/>
  <c r="D151" i="537"/>
  <c r="G150" i="537"/>
  <c r="D150" i="537"/>
  <c r="G149" i="537"/>
  <c r="D149" i="537"/>
  <c r="G148" i="537"/>
  <c r="D148" i="537"/>
  <c r="N143" i="537"/>
  <c r="M143" i="537"/>
  <c r="L143" i="537"/>
  <c r="K143" i="537"/>
  <c r="J143" i="537"/>
  <c r="I143" i="537"/>
  <c r="H143" i="537"/>
  <c r="G143" i="537"/>
  <c r="G147" i="537"/>
  <c r="D147" i="537"/>
  <c r="G146" i="537"/>
  <c r="D146" i="537"/>
  <c r="R145" i="537"/>
  <c r="Q145" i="537"/>
  <c r="P145" i="537"/>
  <c r="O145" i="537"/>
  <c r="N145" i="537"/>
  <c r="M145" i="537"/>
  <c r="L145" i="537"/>
  <c r="K145" i="537"/>
  <c r="J145" i="537"/>
  <c r="I145" i="537"/>
  <c r="H145" i="537"/>
  <c r="G145" i="537"/>
  <c r="D145" i="537"/>
  <c r="R143" i="537"/>
  <c r="Q143" i="537"/>
  <c r="P143" i="537"/>
  <c r="O143" i="537"/>
  <c r="R142" i="537"/>
  <c r="Q142" i="537"/>
  <c r="P142" i="537"/>
  <c r="O142" i="537"/>
  <c r="N142" i="537"/>
  <c r="M142" i="537"/>
  <c r="L142" i="537"/>
  <c r="K142" i="537"/>
  <c r="J142" i="537"/>
  <c r="I142" i="537"/>
  <c r="H142" i="537"/>
  <c r="G142" i="537"/>
  <c r="R109" i="537"/>
  <c r="R141" i="537"/>
  <c r="Q109" i="537"/>
  <c r="Q141" i="537"/>
  <c r="P109" i="537"/>
  <c r="P141" i="537"/>
  <c r="O109" i="537"/>
  <c r="O141" i="537"/>
  <c r="N109" i="537"/>
  <c r="N141" i="537"/>
  <c r="M109" i="537"/>
  <c r="M141" i="537"/>
  <c r="L109" i="537"/>
  <c r="L141" i="537"/>
  <c r="K109" i="537"/>
  <c r="K141" i="537"/>
  <c r="J109" i="537"/>
  <c r="J141" i="537"/>
  <c r="I109" i="537"/>
  <c r="I141" i="537"/>
  <c r="H109" i="537"/>
  <c r="H141" i="537"/>
  <c r="G109" i="537"/>
  <c r="G141" i="537"/>
  <c r="R139" i="537"/>
  <c r="Q139" i="537"/>
  <c r="P139" i="537"/>
  <c r="O139" i="537"/>
  <c r="N139" i="537"/>
  <c r="M139" i="537"/>
  <c r="L139" i="537"/>
  <c r="K139" i="537"/>
  <c r="J139" i="537"/>
  <c r="I139" i="537"/>
  <c r="H139" i="537"/>
  <c r="G139" i="537"/>
  <c r="G121" i="537"/>
  <c r="G122" i="537"/>
  <c r="G123" i="537"/>
  <c r="I123" i="537"/>
  <c r="I124" i="537"/>
  <c r="H123" i="537"/>
  <c r="H124" i="537"/>
  <c r="G124" i="537"/>
  <c r="I122" i="537"/>
  <c r="B106" i="537"/>
  <c r="B107" i="537"/>
  <c r="B108" i="537"/>
  <c r="B109" i="537"/>
  <c r="B110" i="537"/>
  <c r="B111" i="537"/>
  <c r="B112" i="537"/>
  <c r="B113" i="537"/>
  <c r="S107" i="537"/>
  <c r="S106" i="537"/>
  <c r="G65" i="537"/>
  <c r="G66" i="537"/>
  <c r="G67" i="537"/>
  <c r="G73" i="537"/>
  <c r="G92" i="537"/>
  <c r="G93" i="537"/>
  <c r="G94" i="537"/>
  <c r="G95" i="537"/>
  <c r="G104" i="537"/>
  <c r="G105" i="537"/>
  <c r="H65" i="537"/>
  <c r="H66" i="537"/>
  <c r="H67" i="537"/>
  <c r="H73" i="537"/>
  <c r="H92" i="537"/>
  <c r="H93" i="537"/>
  <c r="H27" i="537"/>
  <c r="H94" i="537"/>
  <c r="H95" i="537"/>
  <c r="H104" i="537"/>
  <c r="H105" i="537"/>
  <c r="I65" i="537"/>
  <c r="I66" i="537"/>
  <c r="I67" i="537"/>
  <c r="I73" i="537"/>
  <c r="I92" i="537"/>
  <c r="I93" i="537"/>
  <c r="I27" i="537"/>
  <c r="I94" i="537"/>
  <c r="I95" i="537"/>
  <c r="I104" i="537"/>
  <c r="I105" i="537"/>
  <c r="J65" i="537"/>
  <c r="J66" i="537"/>
  <c r="J67" i="537"/>
  <c r="J73" i="537"/>
  <c r="J92" i="537"/>
  <c r="J93" i="537"/>
  <c r="J27" i="537"/>
  <c r="J94" i="537"/>
  <c r="J95" i="537"/>
  <c r="J104" i="537"/>
  <c r="J105" i="537"/>
  <c r="K65" i="537"/>
  <c r="K66" i="537"/>
  <c r="K67" i="537"/>
  <c r="K73" i="537"/>
  <c r="K92" i="537"/>
  <c r="K93" i="537"/>
  <c r="K27" i="537"/>
  <c r="K94" i="537"/>
  <c r="K95" i="537"/>
  <c r="K104" i="537"/>
  <c r="K105" i="537"/>
  <c r="L65" i="537"/>
  <c r="L66" i="537"/>
  <c r="L67" i="537"/>
  <c r="L73" i="537"/>
  <c r="L92" i="537"/>
  <c r="L93" i="537"/>
  <c r="L27" i="537"/>
  <c r="L94" i="537"/>
  <c r="L95" i="537"/>
  <c r="L104" i="537"/>
  <c r="L105" i="537"/>
  <c r="M65" i="537"/>
  <c r="M66" i="537"/>
  <c r="M67" i="537"/>
  <c r="M73" i="537"/>
  <c r="M92" i="537"/>
  <c r="M93" i="537"/>
  <c r="M27" i="537"/>
  <c r="M94" i="537"/>
  <c r="M95" i="537"/>
  <c r="M104" i="537"/>
  <c r="M105" i="537"/>
  <c r="N65" i="537"/>
  <c r="N66" i="537"/>
  <c r="N67" i="537"/>
  <c r="N73" i="537"/>
  <c r="N92" i="537"/>
  <c r="N93" i="537"/>
  <c r="N27" i="537"/>
  <c r="N94" i="537"/>
  <c r="N95" i="537"/>
  <c r="N104" i="537"/>
  <c r="N105" i="537"/>
  <c r="O65" i="537"/>
  <c r="O66" i="537"/>
  <c r="O67" i="537"/>
  <c r="O73" i="537"/>
  <c r="O92" i="537"/>
  <c r="O93" i="537"/>
  <c r="O27" i="537"/>
  <c r="O94" i="537"/>
  <c r="O95" i="537"/>
  <c r="O104" i="537"/>
  <c r="O105" i="537"/>
  <c r="P65" i="537"/>
  <c r="P66" i="537"/>
  <c r="P67" i="537"/>
  <c r="P73" i="537"/>
  <c r="P92" i="537"/>
  <c r="P93" i="537"/>
  <c r="P27" i="537"/>
  <c r="P94" i="537"/>
  <c r="P95" i="537"/>
  <c r="P104" i="537"/>
  <c r="P105" i="537"/>
  <c r="Q65" i="537"/>
  <c r="Q66" i="537"/>
  <c r="Q67" i="537"/>
  <c r="Q73" i="537"/>
  <c r="Q92" i="537"/>
  <c r="Q93" i="537"/>
  <c r="Q27" i="537"/>
  <c r="Q94" i="537"/>
  <c r="Q95" i="537"/>
  <c r="Q104" i="537"/>
  <c r="Q105" i="537"/>
  <c r="R65" i="537"/>
  <c r="R66" i="537"/>
  <c r="R67" i="537"/>
  <c r="R73" i="537"/>
  <c r="R92" i="537"/>
  <c r="R93" i="537"/>
  <c r="R27" i="537"/>
  <c r="R94" i="537"/>
  <c r="R95" i="537"/>
  <c r="R104" i="537"/>
  <c r="R105" i="537"/>
  <c r="S105" i="537"/>
  <c r="S104" i="537"/>
  <c r="G103" i="537"/>
  <c r="H103" i="537"/>
  <c r="I103" i="537"/>
  <c r="J103" i="537"/>
  <c r="K103" i="537"/>
  <c r="L103" i="537"/>
  <c r="M103" i="537"/>
  <c r="N103" i="537"/>
  <c r="O103" i="537"/>
  <c r="P103" i="537"/>
  <c r="Q103" i="537"/>
  <c r="R103" i="537"/>
  <c r="S103" i="537"/>
  <c r="S102" i="537"/>
  <c r="G98" i="537"/>
  <c r="G99" i="537"/>
  <c r="G101" i="537"/>
  <c r="H98" i="537"/>
  <c r="H99" i="537"/>
  <c r="H101" i="537"/>
  <c r="I98" i="537"/>
  <c r="I99" i="537"/>
  <c r="I101" i="537"/>
  <c r="J98" i="537"/>
  <c r="J99" i="537"/>
  <c r="J101" i="537"/>
  <c r="K98" i="537"/>
  <c r="K99" i="537"/>
  <c r="K101" i="537"/>
  <c r="L98" i="537"/>
  <c r="L99" i="537"/>
  <c r="L101" i="537"/>
  <c r="M98" i="537"/>
  <c r="M99" i="537"/>
  <c r="M101" i="537"/>
  <c r="N98" i="537"/>
  <c r="N99" i="537"/>
  <c r="N101" i="537"/>
  <c r="O98" i="537"/>
  <c r="O99" i="537"/>
  <c r="O101" i="537"/>
  <c r="P98" i="537"/>
  <c r="P99" i="537"/>
  <c r="P101" i="537"/>
  <c r="Q98" i="537"/>
  <c r="Q99" i="537"/>
  <c r="Q101" i="537"/>
  <c r="R98" i="537"/>
  <c r="R99" i="537"/>
  <c r="R101" i="537"/>
  <c r="S101" i="537"/>
  <c r="G100" i="537"/>
  <c r="H100" i="537"/>
  <c r="I100" i="537"/>
  <c r="J100" i="537"/>
  <c r="K100" i="537"/>
  <c r="L100" i="537"/>
  <c r="M100" i="537"/>
  <c r="N100" i="537"/>
  <c r="O100" i="537"/>
  <c r="P100" i="537"/>
  <c r="Q100" i="537"/>
  <c r="R100" i="537"/>
  <c r="S100" i="537"/>
  <c r="S99" i="537"/>
  <c r="S98" i="537"/>
  <c r="S97" i="537"/>
  <c r="S95" i="537"/>
  <c r="S93" i="537"/>
  <c r="S92" i="537"/>
  <c r="S91" i="537"/>
  <c r="S90" i="537"/>
  <c r="S89" i="537"/>
  <c r="S88" i="537"/>
  <c r="S87" i="537"/>
  <c r="S86" i="537"/>
  <c r="S85" i="537"/>
  <c r="S84" i="537"/>
  <c r="S83" i="537"/>
  <c r="S82" i="537"/>
  <c r="D82" i="537"/>
  <c r="S81" i="537"/>
  <c r="D81" i="537"/>
  <c r="S80" i="537"/>
  <c r="D80" i="537"/>
  <c r="S79" i="537"/>
  <c r="D79" i="537"/>
  <c r="S78" i="537"/>
  <c r="D78" i="537"/>
  <c r="S77" i="537"/>
  <c r="D77" i="537"/>
  <c r="S76" i="537"/>
  <c r="S75" i="537"/>
  <c r="S74" i="537"/>
  <c r="S73" i="537"/>
  <c r="S72" i="537"/>
  <c r="S70" i="537"/>
  <c r="S69" i="537"/>
  <c r="S68" i="537"/>
  <c r="S67" i="537"/>
  <c r="S66" i="537"/>
  <c r="S65" i="537"/>
  <c r="S64" i="537"/>
  <c r="S63" i="537"/>
  <c r="S62" i="537"/>
  <c r="S61" i="537"/>
  <c r="S60" i="537"/>
  <c r="S59" i="537"/>
  <c r="S58" i="537"/>
  <c r="S57" i="537"/>
  <c r="S56" i="537"/>
  <c r="S55" i="537"/>
  <c r="S54" i="537"/>
  <c r="E54" i="537"/>
  <c r="C54" i="537"/>
  <c r="S53" i="537"/>
  <c r="E53" i="537"/>
  <c r="C53" i="537"/>
  <c r="S52" i="537"/>
  <c r="E52" i="537"/>
  <c r="C52" i="537"/>
  <c r="S51" i="537"/>
  <c r="E51" i="537"/>
  <c r="C51" i="537"/>
  <c r="S50" i="537"/>
  <c r="E50" i="537"/>
  <c r="C50" i="537"/>
  <c r="S49" i="537"/>
  <c r="E49" i="537"/>
  <c r="C49" i="537"/>
  <c r="S48" i="537"/>
  <c r="S47" i="537"/>
  <c r="S46" i="537"/>
  <c r="S45" i="537"/>
  <c r="R2" i="537"/>
  <c r="R44" i="537"/>
  <c r="Q2" i="537"/>
  <c r="Q44" i="537"/>
  <c r="P2" i="537"/>
  <c r="P44" i="537"/>
  <c r="O2" i="537"/>
  <c r="O44" i="537"/>
  <c r="N2" i="537"/>
  <c r="N44" i="537"/>
  <c r="M2" i="537"/>
  <c r="M44" i="537"/>
  <c r="L2" i="537"/>
  <c r="L44" i="537"/>
  <c r="K2" i="537"/>
  <c r="K44" i="537"/>
  <c r="J2" i="537"/>
  <c r="J44" i="537"/>
  <c r="I2" i="537"/>
  <c r="I44" i="537"/>
  <c r="H2" i="537"/>
  <c r="H44" i="537"/>
  <c r="G2" i="537"/>
  <c r="G44" i="537"/>
  <c r="A44" i="537"/>
  <c r="R7" i="537"/>
  <c r="Q7" i="537"/>
  <c r="P7" i="537"/>
  <c r="O7" i="537"/>
  <c r="N7" i="537"/>
  <c r="M7" i="537"/>
  <c r="L7" i="537"/>
  <c r="K7" i="537"/>
  <c r="J7" i="537"/>
  <c r="I7" i="537"/>
  <c r="H7" i="537"/>
  <c r="H1" i="537"/>
  <c r="I1" i="537"/>
  <c r="J1" i="537"/>
  <c r="K1" i="537"/>
  <c r="L1" i="537"/>
  <c r="M1" i="537"/>
  <c r="N1" i="537"/>
  <c r="O1" i="537"/>
  <c r="P1" i="537"/>
  <c r="Q1" i="537"/>
  <c r="R1" i="537"/>
  <c r="B74" i="536"/>
  <c r="B75" i="536"/>
  <c r="B76" i="536"/>
  <c r="B77" i="536"/>
  <c r="B78" i="536"/>
  <c r="B79" i="536"/>
  <c r="B80" i="536"/>
  <c r="B81" i="536"/>
  <c r="B82" i="536"/>
  <c r="B83" i="536"/>
  <c r="B84" i="536"/>
  <c r="B85" i="536"/>
  <c r="B86" i="536"/>
  <c r="B87" i="536"/>
  <c r="B88" i="536"/>
  <c r="B89" i="536"/>
  <c r="B90" i="536"/>
  <c r="B91" i="536"/>
  <c r="B92" i="536"/>
  <c r="B93" i="536"/>
  <c r="B94" i="536"/>
  <c r="B95" i="536"/>
  <c r="B96" i="536"/>
  <c r="B97" i="536"/>
  <c r="B98" i="536"/>
  <c r="B99" i="536"/>
  <c r="B100" i="536"/>
  <c r="B101" i="536"/>
  <c r="B102" i="536"/>
  <c r="B103" i="536"/>
  <c r="B104" i="536"/>
  <c r="B105" i="536"/>
  <c r="D205" i="536"/>
  <c r="B173" i="536"/>
  <c r="B174" i="536"/>
  <c r="B175" i="536"/>
  <c r="B176" i="536"/>
  <c r="B177" i="536"/>
  <c r="B178" i="536"/>
  <c r="B179" i="536"/>
  <c r="B180" i="536"/>
  <c r="B181" i="536"/>
  <c r="B182" i="536"/>
  <c r="B183" i="536"/>
  <c r="B184" i="536"/>
  <c r="B185" i="536"/>
  <c r="B186" i="536"/>
  <c r="B187" i="536"/>
  <c r="B188" i="536"/>
  <c r="B189" i="536"/>
  <c r="B190" i="536"/>
  <c r="B191" i="536"/>
  <c r="B192" i="536"/>
  <c r="B193" i="536"/>
  <c r="B194" i="536"/>
  <c r="B195" i="536"/>
  <c r="B196" i="536"/>
  <c r="B197" i="536"/>
  <c r="B198" i="536"/>
  <c r="B199" i="536"/>
  <c r="B200" i="536"/>
  <c r="B201" i="536"/>
  <c r="B202" i="536"/>
  <c r="B203" i="536"/>
  <c r="B204" i="536"/>
  <c r="B205" i="536"/>
  <c r="D204" i="536"/>
  <c r="R203" i="536"/>
  <c r="Q203" i="536"/>
  <c r="P203" i="536"/>
  <c r="O203" i="536"/>
  <c r="N203" i="536"/>
  <c r="M203" i="536"/>
  <c r="L203" i="536"/>
  <c r="K203" i="536"/>
  <c r="J203" i="536"/>
  <c r="I203" i="536"/>
  <c r="H203" i="536"/>
  <c r="G203" i="536"/>
  <c r="D203" i="536"/>
  <c r="R202" i="536"/>
  <c r="Q202" i="536"/>
  <c r="P202" i="536"/>
  <c r="O202" i="536"/>
  <c r="N202" i="536"/>
  <c r="M202" i="536"/>
  <c r="L202" i="536"/>
  <c r="K202" i="536"/>
  <c r="J202" i="536"/>
  <c r="I202" i="536"/>
  <c r="H202" i="536"/>
  <c r="G202" i="536"/>
  <c r="D202" i="536"/>
  <c r="D201" i="536"/>
  <c r="D200" i="536"/>
  <c r="D199" i="536"/>
  <c r="D198" i="536"/>
  <c r="D197" i="536"/>
  <c r="D196" i="536"/>
  <c r="H26" i="536"/>
  <c r="I26" i="536"/>
  <c r="J26" i="536"/>
  <c r="K26" i="536"/>
  <c r="L26" i="536"/>
  <c r="M26" i="536"/>
  <c r="N26" i="536"/>
  <c r="O26" i="536"/>
  <c r="P26" i="536"/>
  <c r="Q26" i="536"/>
  <c r="R26" i="536"/>
  <c r="D195" i="536"/>
  <c r="D194" i="536"/>
  <c r="D193" i="536"/>
  <c r="R64" i="536"/>
  <c r="R102" i="536"/>
  <c r="R90" i="536"/>
  <c r="R91" i="536"/>
  <c r="Q64" i="536"/>
  <c r="Q102" i="536"/>
  <c r="Q90" i="536"/>
  <c r="Q91" i="536"/>
  <c r="P64" i="536"/>
  <c r="P102" i="536"/>
  <c r="P90" i="536"/>
  <c r="P91" i="536"/>
  <c r="O64" i="536"/>
  <c r="O102" i="536"/>
  <c r="O90" i="536"/>
  <c r="O91" i="536"/>
  <c r="N64" i="536"/>
  <c r="N102" i="536"/>
  <c r="N90" i="536"/>
  <c r="N91" i="536"/>
  <c r="M64" i="536"/>
  <c r="M102" i="536"/>
  <c r="M90" i="536"/>
  <c r="M91" i="536"/>
  <c r="L64" i="536"/>
  <c r="L102" i="536"/>
  <c r="L90" i="536"/>
  <c r="L91" i="536"/>
  <c r="K64" i="536"/>
  <c r="K102" i="536"/>
  <c r="K90" i="536"/>
  <c r="K91" i="536"/>
  <c r="J64" i="536"/>
  <c r="J102" i="536"/>
  <c r="J90" i="536"/>
  <c r="J91" i="536"/>
  <c r="I64" i="536"/>
  <c r="I102" i="536"/>
  <c r="I90" i="536"/>
  <c r="I91" i="536"/>
  <c r="H64" i="536"/>
  <c r="H102" i="536"/>
  <c r="H90" i="536"/>
  <c r="H91" i="536"/>
  <c r="G102" i="536"/>
  <c r="G90" i="536"/>
  <c r="G91" i="536"/>
  <c r="D192" i="536"/>
  <c r="D191" i="536"/>
  <c r="D190" i="536"/>
  <c r="D189" i="536"/>
  <c r="R188" i="536"/>
  <c r="Q188" i="536"/>
  <c r="P188" i="536"/>
  <c r="O188" i="536"/>
  <c r="N188" i="536"/>
  <c r="M188" i="536"/>
  <c r="L188" i="536"/>
  <c r="K188" i="536"/>
  <c r="J188" i="536"/>
  <c r="I188" i="536"/>
  <c r="H188" i="536"/>
  <c r="G188" i="536"/>
  <c r="D188" i="536"/>
  <c r="R187" i="536"/>
  <c r="Q187" i="536"/>
  <c r="P187" i="536"/>
  <c r="O187" i="536"/>
  <c r="N187" i="536"/>
  <c r="M187" i="536"/>
  <c r="L187" i="536"/>
  <c r="K187" i="536"/>
  <c r="J187" i="536"/>
  <c r="I187" i="536"/>
  <c r="H187" i="536"/>
  <c r="G187" i="536"/>
  <c r="D187" i="536"/>
  <c r="D186" i="536"/>
  <c r="R185" i="536"/>
  <c r="Q185" i="536"/>
  <c r="P185" i="536"/>
  <c r="O185" i="536"/>
  <c r="N185" i="536"/>
  <c r="M185" i="536"/>
  <c r="L185" i="536"/>
  <c r="K185" i="536"/>
  <c r="J185" i="536"/>
  <c r="I185" i="536"/>
  <c r="H185" i="536"/>
  <c r="G185" i="536"/>
  <c r="D185" i="536"/>
  <c r="R184" i="536"/>
  <c r="Q184" i="536"/>
  <c r="P184" i="536"/>
  <c r="O184" i="536"/>
  <c r="N184" i="536"/>
  <c r="M184" i="536"/>
  <c r="L184" i="536"/>
  <c r="K184" i="536"/>
  <c r="J184" i="536"/>
  <c r="I184" i="536"/>
  <c r="H184" i="536"/>
  <c r="G184" i="536"/>
  <c r="D184" i="536"/>
  <c r="R183" i="536"/>
  <c r="Q183" i="536"/>
  <c r="P183" i="536"/>
  <c r="O183" i="536"/>
  <c r="N183" i="536"/>
  <c r="M183" i="536"/>
  <c r="L183" i="536"/>
  <c r="K183" i="536"/>
  <c r="J183" i="536"/>
  <c r="I183" i="536"/>
  <c r="H183" i="536"/>
  <c r="G183" i="536"/>
  <c r="D183" i="536"/>
  <c r="R182" i="536"/>
  <c r="Q182" i="536"/>
  <c r="P182" i="536"/>
  <c r="O182" i="536"/>
  <c r="N182" i="536"/>
  <c r="M182" i="536"/>
  <c r="L182" i="536"/>
  <c r="K182" i="536"/>
  <c r="J182" i="536"/>
  <c r="I182" i="536"/>
  <c r="H182" i="536"/>
  <c r="G182" i="536"/>
  <c r="D182" i="536"/>
  <c r="R181" i="536"/>
  <c r="Q181" i="536"/>
  <c r="P181" i="536"/>
  <c r="O181" i="536"/>
  <c r="N181" i="536"/>
  <c r="M181" i="536"/>
  <c r="L181" i="536"/>
  <c r="K181" i="536"/>
  <c r="J181" i="536"/>
  <c r="I181" i="536"/>
  <c r="H181" i="536"/>
  <c r="G181" i="536"/>
  <c r="D181" i="536"/>
  <c r="R180" i="536"/>
  <c r="Q180" i="536"/>
  <c r="P180" i="536"/>
  <c r="O180" i="536"/>
  <c r="N180" i="536"/>
  <c r="M180" i="536"/>
  <c r="L180" i="536"/>
  <c r="K180" i="536"/>
  <c r="J180" i="536"/>
  <c r="I180" i="536"/>
  <c r="H180" i="536"/>
  <c r="G180" i="536"/>
  <c r="D180" i="536"/>
  <c r="R179" i="536"/>
  <c r="Q179" i="536"/>
  <c r="P179" i="536"/>
  <c r="O179" i="536"/>
  <c r="N179" i="536"/>
  <c r="M179" i="536"/>
  <c r="L179" i="536"/>
  <c r="K179" i="536"/>
  <c r="J179" i="536"/>
  <c r="I179" i="536"/>
  <c r="H179" i="536"/>
  <c r="G179" i="536"/>
  <c r="D179" i="536"/>
  <c r="R178" i="536"/>
  <c r="Q178" i="536"/>
  <c r="P178" i="536"/>
  <c r="O178" i="536"/>
  <c r="N178" i="536"/>
  <c r="M178" i="536"/>
  <c r="L178" i="536"/>
  <c r="K178" i="536"/>
  <c r="J178" i="536"/>
  <c r="I178" i="536"/>
  <c r="H178" i="536"/>
  <c r="G178" i="536"/>
  <c r="D178" i="536"/>
  <c r="R177" i="536"/>
  <c r="Q177" i="536"/>
  <c r="P177" i="536"/>
  <c r="O177" i="536"/>
  <c r="N177" i="536"/>
  <c r="M177" i="536"/>
  <c r="L177" i="536"/>
  <c r="K177" i="536"/>
  <c r="J177" i="536"/>
  <c r="I177" i="536"/>
  <c r="H177" i="536"/>
  <c r="G177" i="536"/>
  <c r="D177" i="536"/>
  <c r="R176" i="536"/>
  <c r="Q176" i="536"/>
  <c r="P176" i="536"/>
  <c r="O176" i="536"/>
  <c r="N176" i="536"/>
  <c r="M176" i="536"/>
  <c r="L176" i="536"/>
  <c r="K176" i="536"/>
  <c r="J176" i="536"/>
  <c r="I176" i="536"/>
  <c r="H176" i="536"/>
  <c r="G176" i="536"/>
  <c r="D176" i="536"/>
  <c r="R175" i="536"/>
  <c r="Q175" i="536"/>
  <c r="P175" i="536"/>
  <c r="O175" i="536"/>
  <c r="N175" i="536"/>
  <c r="M175" i="536"/>
  <c r="L175" i="536"/>
  <c r="K175" i="536"/>
  <c r="J175" i="536"/>
  <c r="I175" i="536"/>
  <c r="H175" i="536"/>
  <c r="G175" i="536"/>
  <c r="D175" i="536"/>
  <c r="R174" i="536"/>
  <c r="Q174" i="536"/>
  <c r="P174" i="536"/>
  <c r="O174" i="536"/>
  <c r="N174" i="536"/>
  <c r="M174" i="536"/>
  <c r="L174" i="536"/>
  <c r="K174" i="536"/>
  <c r="J174" i="536"/>
  <c r="I174" i="536"/>
  <c r="H174" i="536"/>
  <c r="G174" i="536"/>
  <c r="D174" i="536"/>
  <c r="D173" i="536"/>
  <c r="G64" i="536"/>
  <c r="R172" i="536"/>
  <c r="Q172" i="536"/>
  <c r="P172" i="536"/>
  <c r="O172" i="536"/>
  <c r="N172" i="536"/>
  <c r="M172" i="536"/>
  <c r="L172" i="536"/>
  <c r="K172" i="536"/>
  <c r="J172" i="536"/>
  <c r="I172" i="536"/>
  <c r="H172" i="536"/>
  <c r="G172" i="536"/>
  <c r="R170" i="536"/>
  <c r="Q170" i="536"/>
  <c r="P170" i="536"/>
  <c r="O170" i="536"/>
  <c r="N170" i="536"/>
  <c r="M170" i="536"/>
  <c r="L170" i="536"/>
  <c r="K170" i="536"/>
  <c r="J170" i="536"/>
  <c r="I170" i="536"/>
  <c r="H170" i="536"/>
  <c r="G170" i="536"/>
  <c r="D170" i="536"/>
  <c r="R169" i="536"/>
  <c r="Q169" i="536"/>
  <c r="P169" i="536"/>
  <c r="O169" i="536"/>
  <c r="N169" i="536"/>
  <c r="M169" i="536"/>
  <c r="L169" i="536"/>
  <c r="K169" i="536"/>
  <c r="J169" i="536"/>
  <c r="I169" i="536"/>
  <c r="H169" i="536"/>
  <c r="G169" i="536"/>
  <c r="D169" i="536"/>
  <c r="R168" i="536"/>
  <c r="Q168" i="536"/>
  <c r="P168" i="536"/>
  <c r="O168" i="536"/>
  <c r="N168" i="536"/>
  <c r="M168" i="536"/>
  <c r="L168" i="536"/>
  <c r="K168" i="536"/>
  <c r="J168" i="536"/>
  <c r="I168" i="536"/>
  <c r="H168" i="536"/>
  <c r="G168" i="536"/>
  <c r="D168" i="536"/>
  <c r="D167" i="536"/>
  <c r="R166" i="536"/>
  <c r="Q166" i="536"/>
  <c r="P166" i="536"/>
  <c r="O166" i="536"/>
  <c r="N166" i="536"/>
  <c r="M166" i="536"/>
  <c r="L166" i="536"/>
  <c r="K166" i="536"/>
  <c r="J166" i="536"/>
  <c r="I166" i="536"/>
  <c r="H166" i="536"/>
  <c r="G166" i="536"/>
  <c r="D166" i="536"/>
  <c r="R165" i="536"/>
  <c r="Q165" i="536"/>
  <c r="P165" i="536"/>
  <c r="O165" i="536"/>
  <c r="N165" i="536"/>
  <c r="M165" i="536"/>
  <c r="L165" i="536"/>
  <c r="K165" i="536"/>
  <c r="J165" i="536"/>
  <c r="I165" i="536"/>
  <c r="H165" i="536"/>
  <c r="G165" i="536"/>
  <c r="D165" i="536"/>
  <c r="R164" i="536"/>
  <c r="Q164" i="536"/>
  <c r="P164" i="536"/>
  <c r="O164" i="536"/>
  <c r="N164" i="536"/>
  <c r="M164" i="536"/>
  <c r="L164" i="536"/>
  <c r="K164" i="536"/>
  <c r="J164" i="536"/>
  <c r="I164" i="536"/>
  <c r="H164" i="536"/>
  <c r="G164" i="536"/>
  <c r="D164" i="536"/>
  <c r="R163" i="536"/>
  <c r="Q163" i="536"/>
  <c r="P163" i="536"/>
  <c r="O163" i="536"/>
  <c r="N163" i="536"/>
  <c r="M163" i="536"/>
  <c r="L163" i="536"/>
  <c r="K163" i="536"/>
  <c r="J163" i="536"/>
  <c r="I163" i="536"/>
  <c r="H163" i="536"/>
  <c r="G163" i="536"/>
  <c r="D163" i="536"/>
  <c r="D162" i="536"/>
  <c r="R161" i="536"/>
  <c r="Q161" i="536"/>
  <c r="P161" i="536"/>
  <c r="O161" i="536"/>
  <c r="N161" i="536"/>
  <c r="M161" i="536"/>
  <c r="L161" i="536"/>
  <c r="K161" i="536"/>
  <c r="J161" i="536"/>
  <c r="I161" i="536"/>
  <c r="H161" i="536"/>
  <c r="G161" i="536"/>
  <c r="D161" i="536"/>
  <c r="R160" i="536"/>
  <c r="Q160" i="536"/>
  <c r="P160" i="536"/>
  <c r="O160" i="536"/>
  <c r="N160" i="536"/>
  <c r="M160" i="536"/>
  <c r="L160" i="536"/>
  <c r="K160" i="536"/>
  <c r="J160" i="536"/>
  <c r="I160" i="536"/>
  <c r="H160" i="536"/>
  <c r="G160" i="536"/>
  <c r="D160" i="536"/>
  <c r="R159" i="536"/>
  <c r="Q159" i="536"/>
  <c r="P159" i="536"/>
  <c r="O159" i="536"/>
  <c r="N159" i="536"/>
  <c r="M159" i="536"/>
  <c r="L159" i="536"/>
  <c r="K159" i="536"/>
  <c r="J159" i="536"/>
  <c r="I159" i="536"/>
  <c r="H159" i="536"/>
  <c r="G159" i="536"/>
  <c r="D159" i="536"/>
  <c r="R158" i="536"/>
  <c r="Q158" i="536"/>
  <c r="P158" i="536"/>
  <c r="O158" i="536"/>
  <c r="N158" i="536"/>
  <c r="M158" i="536"/>
  <c r="L158" i="536"/>
  <c r="K158" i="536"/>
  <c r="J158" i="536"/>
  <c r="I158" i="536"/>
  <c r="H158" i="536"/>
  <c r="G158" i="536"/>
  <c r="D158" i="536"/>
  <c r="R157" i="536"/>
  <c r="Q157" i="536"/>
  <c r="P157" i="536"/>
  <c r="O157" i="536"/>
  <c r="N157" i="536"/>
  <c r="M157" i="536"/>
  <c r="L157" i="536"/>
  <c r="K157" i="536"/>
  <c r="J157" i="536"/>
  <c r="I157" i="536"/>
  <c r="H157" i="536"/>
  <c r="G157" i="536"/>
  <c r="D157" i="536"/>
  <c r="R156" i="536"/>
  <c r="Q156" i="536"/>
  <c r="P156" i="536"/>
  <c r="O156" i="536"/>
  <c r="N156" i="536"/>
  <c r="M156" i="536"/>
  <c r="L156" i="536"/>
  <c r="K156" i="536"/>
  <c r="J156" i="536"/>
  <c r="I156" i="536"/>
  <c r="H156" i="536"/>
  <c r="G156" i="536"/>
  <c r="D156" i="536"/>
  <c r="R155" i="536"/>
  <c r="Q155" i="536"/>
  <c r="P155" i="536"/>
  <c r="O155" i="536"/>
  <c r="N155" i="536"/>
  <c r="M155" i="536"/>
  <c r="L155" i="536"/>
  <c r="K155" i="536"/>
  <c r="J155" i="536"/>
  <c r="I155" i="536"/>
  <c r="H155" i="536"/>
  <c r="G155" i="536"/>
  <c r="D155" i="536"/>
  <c r="R154" i="536"/>
  <c r="Q154" i="536"/>
  <c r="P154" i="536"/>
  <c r="O154" i="536"/>
  <c r="N154" i="536"/>
  <c r="M154" i="536"/>
  <c r="L154" i="536"/>
  <c r="K154" i="536"/>
  <c r="J154" i="536"/>
  <c r="I154" i="536"/>
  <c r="H154" i="536"/>
  <c r="G154" i="536"/>
  <c r="D154" i="536"/>
  <c r="R153" i="536"/>
  <c r="Q153" i="536"/>
  <c r="P153" i="536"/>
  <c r="O153" i="536"/>
  <c r="N153" i="536"/>
  <c r="M153" i="536"/>
  <c r="L153" i="536"/>
  <c r="K153" i="536"/>
  <c r="J153" i="536"/>
  <c r="I153" i="536"/>
  <c r="H153" i="536"/>
  <c r="G153" i="536"/>
  <c r="D153" i="536"/>
  <c r="R152" i="536"/>
  <c r="Q152" i="536"/>
  <c r="P152" i="536"/>
  <c r="O152" i="536"/>
  <c r="N152" i="536"/>
  <c r="M152" i="536"/>
  <c r="L152" i="536"/>
  <c r="K152" i="536"/>
  <c r="J152" i="536"/>
  <c r="I152" i="536"/>
  <c r="H152" i="536"/>
  <c r="G152" i="536"/>
  <c r="D152" i="536"/>
  <c r="R151" i="536"/>
  <c r="Q151" i="536"/>
  <c r="P151" i="536"/>
  <c r="O151" i="536"/>
  <c r="N151" i="536"/>
  <c r="M151" i="536"/>
  <c r="L151" i="536"/>
  <c r="K151" i="536"/>
  <c r="J151" i="536"/>
  <c r="I151" i="536"/>
  <c r="H151" i="536"/>
  <c r="G151" i="536"/>
  <c r="D151" i="536"/>
  <c r="G150" i="536"/>
  <c r="D150" i="536"/>
  <c r="G149" i="536"/>
  <c r="D149" i="536"/>
  <c r="G148" i="536"/>
  <c r="D148" i="536"/>
  <c r="N143" i="536"/>
  <c r="M143" i="536"/>
  <c r="L143" i="536"/>
  <c r="K143" i="536"/>
  <c r="J143" i="536"/>
  <c r="I143" i="536"/>
  <c r="H143" i="536"/>
  <c r="G143" i="536"/>
  <c r="G147" i="536"/>
  <c r="D147" i="536"/>
  <c r="G146" i="536"/>
  <c r="D146" i="536"/>
  <c r="R145" i="536"/>
  <c r="Q145" i="536"/>
  <c r="P145" i="536"/>
  <c r="O145" i="536"/>
  <c r="N145" i="536"/>
  <c r="M145" i="536"/>
  <c r="L145" i="536"/>
  <c r="K145" i="536"/>
  <c r="J145" i="536"/>
  <c r="I145" i="536"/>
  <c r="H145" i="536"/>
  <c r="G145" i="536"/>
  <c r="D145" i="536"/>
  <c r="R143" i="536"/>
  <c r="Q143" i="536"/>
  <c r="P143" i="536"/>
  <c r="O143" i="536"/>
  <c r="R142" i="536"/>
  <c r="Q142" i="536"/>
  <c r="P142" i="536"/>
  <c r="O142" i="536"/>
  <c r="N142" i="536"/>
  <c r="M142" i="536"/>
  <c r="L142" i="536"/>
  <c r="K142" i="536"/>
  <c r="J142" i="536"/>
  <c r="I142" i="536"/>
  <c r="H142" i="536"/>
  <c r="G142" i="536"/>
  <c r="R109" i="536"/>
  <c r="R141" i="536"/>
  <c r="Q109" i="536"/>
  <c r="Q141" i="536"/>
  <c r="P109" i="536"/>
  <c r="P141" i="536"/>
  <c r="O109" i="536"/>
  <c r="O141" i="536"/>
  <c r="N109" i="536"/>
  <c r="N141" i="536"/>
  <c r="M109" i="536"/>
  <c r="M141" i="536"/>
  <c r="L109" i="536"/>
  <c r="L141" i="536"/>
  <c r="K109" i="536"/>
  <c r="K141" i="536"/>
  <c r="J109" i="536"/>
  <c r="J141" i="536"/>
  <c r="I109" i="536"/>
  <c r="I141" i="536"/>
  <c r="H109" i="536"/>
  <c r="H141" i="536"/>
  <c r="G109" i="536"/>
  <c r="G141" i="536"/>
  <c r="R139" i="536"/>
  <c r="Q139" i="536"/>
  <c r="P139" i="536"/>
  <c r="O139" i="536"/>
  <c r="N139" i="536"/>
  <c r="M139" i="536"/>
  <c r="L139" i="536"/>
  <c r="K139" i="536"/>
  <c r="J139" i="536"/>
  <c r="I139" i="536"/>
  <c r="H139" i="536"/>
  <c r="G139" i="536"/>
  <c r="G121" i="536"/>
  <c r="G122" i="536"/>
  <c r="G123" i="536"/>
  <c r="I123" i="536"/>
  <c r="I124" i="536"/>
  <c r="H123" i="536"/>
  <c r="H124" i="536"/>
  <c r="G124" i="536"/>
  <c r="I122" i="536"/>
  <c r="B106" i="536"/>
  <c r="B107" i="536"/>
  <c r="B108" i="536"/>
  <c r="B109" i="536"/>
  <c r="B110" i="536"/>
  <c r="B111" i="536"/>
  <c r="B112" i="536"/>
  <c r="B113" i="536"/>
  <c r="S107" i="536"/>
  <c r="S106" i="536"/>
  <c r="G65" i="536"/>
  <c r="G66" i="536"/>
  <c r="G67" i="536"/>
  <c r="G73" i="536"/>
  <c r="G92" i="536"/>
  <c r="G93" i="536"/>
  <c r="G94" i="536"/>
  <c r="G95" i="536"/>
  <c r="G104" i="536"/>
  <c r="G105" i="536"/>
  <c r="H65" i="536"/>
  <c r="H66" i="536"/>
  <c r="H67" i="536"/>
  <c r="H73" i="536"/>
  <c r="H92" i="536"/>
  <c r="H93" i="536"/>
  <c r="H27" i="536"/>
  <c r="H94" i="536"/>
  <c r="H95" i="536"/>
  <c r="H104" i="536"/>
  <c r="H105" i="536"/>
  <c r="I65" i="536"/>
  <c r="I66" i="536"/>
  <c r="I67" i="536"/>
  <c r="I73" i="536"/>
  <c r="I92" i="536"/>
  <c r="I93" i="536"/>
  <c r="I27" i="536"/>
  <c r="I94" i="536"/>
  <c r="I95" i="536"/>
  <c r="I104" i="536"/>
  <c r="I105" i="536"/>
  <c r="J65" i="536"/>
  <c r="J66" i="536"/>
  <c r="J67" i="536"/>
  <c r="J73" i="536"/>
  <c r="J92" i="536"/>
  <c r="J93" i="536"/>
  <c r="J27" i="536"/>
  <c r="J94" i="536"/>
  <c r="J95" i="536"/>
  <c r="J104" i="536"/>
  <c r="J105" i="536"/>
  <c r="K65" i="536"/>
  <c r="K66" i="536"/>
  <c r="K67" i="536"/>
  <c r="K73" i="536"/>
  <c r="K92" i="536"/>
  <c r="K93" i="536"/>
  <c r="K27" i="536"/>
  <c r="K94" i="536"/>
  <c r="K95" i="536"/>
  <c r="K104" i="536"/>
  <c r="K105" i="536"/>
  <c r="L65" i="536"/>
  <c r="L66" i="536"/>
  <c r="L67" i="536"/>
  <c r="L73" i="536"/>
  <c r="L92" i="536"/>
  <c r="L93" i="536"/>
  <c r="L27" i="536"/>
  <c r="L94" i="536"/>
  <c r="L95" i="536"/>
  <c r="L104" i="536"/>
  <c r="L105" i="536"/>
  <c r="M65" i="536"/>
  <c r="M66" i="536"/>
  <c r="M67" i="536"/>
  <c r="M73" i="536"/>
  <c r="M92" i="536"/>
  <c r="M93" i="536"/>
  <c r="M27" i="536"/>
  <c r="M94" i="536"/>
  <c r="M95" i="536"/>
  <c r="M104" i="536"/>
  <c r="M105" i="536"/>
  <c r="N65" i="536"/>
  <c r="N66" i="536"/>
  <c r="N67" i="536"/>
  <c r="N73" i="536"/>
  <c r="N92" i="536"/>
  <c r="N93" i="536"/>
  <c r="N27" i="536"/>
  <c r="N94" i="536"/>
  <c r="N95" i="536"/>
  <c r="N104" i="536"/>
  <c r="N105" i="536"/>
  <c r="O65" i="536"/>
  <c r="O66" i="536"/>
  <c r="O67" i="536"/>
  <c r="O73" i="536"/>
  <c r="O92" i="536"/>
  <c r="O93" i="536"/>
  <c r="O27" i="536"/>
  <c r="O94" i="536"/>
  <c r="O95" i="536"/>
  <c r="O104" i="536"/>
  <c r="O105" i="536"/>
  <c r="P65" i="536"/>
  <c r="P66" i="536"/>
  <c r="P67" i="536"/>
  <c r="P73" i="536"/>
  <c r="P92" i="536"/>
  <c r="P93" i="536"/>
  <c r="P27" i="536"/>
  <c r="P94" i="536"/>
  <c r="P95" i="536"/>
  <c r="P104" i="536"/>
  <c r="P105" i="536"/>
  <c r="Q65" i="536"/>
  <c r="Q66" i="536"/>
  <c r="Q67" i="536"/>
  <c r="Q73" i="536"/>
  <c r="Q92" i="536"/>
  <c r="Q93" i="536"/>
  <c r="Q27" i="536"/>
  <c r="Q94" i="536"/>
  <c r="Q95" i="536"/>
  <c r="Q104" i="536"/>
  <c r="Q105" i="536"/>
  <c r="R65" i="536"/>
  <c r="R66" i="536"/>
  <c r="R67" i="536"/>
  <c r="R73" i="536"/>
  <c r="R92" i="536"/>
  <c r="R93" i="536"/>
  <c r="R27" i="536"/>
  <c r="R94" i="536"/>
  <c r="R95" i="536"/>
  <c r="R104" i="536"/>
  <c r="R105" i="536"/>
  <c r="S105" i="536"/>
  <c r="S104" i="536"/>
  <c r="G103" i="536"/>
  <c r="H103" i="536"/>
  <c r="I103" i="536"/>
  <c r="J103" i="536"/>
  <c r="K103" i="536"/>
  <c r="L103" i="536"/>
  <c r="M103" i="536"/>
  <c r="N103" i="536"/>
  <c r="O103" i="536"/>
  <c r="P103" i="536"/>
  <c r="Q103" i="536"/>
  <c r="R103" i="536"/>
  <c r="S103" i="536"/>
  <c r="S102" i="536"/>
  <c r="G98" i="536"/>
  <c r="G99" i="536"/>
  <c r="G101" i="536"/>
  <c r="H98" i="536"/>
  <c r="H99" i="536"/>
  <c r="H101" i="536"/>
  <c r="I98" i="536"/>
  <c r="I99" i="536"/>
  <c r="I101" i="536"/>
  <c r="J98" i="536"/>
  <c r="J99" i="536"/>
  <c r="J101" i="536"/>
  <c r="K98" i="536"/>
  <c r="K99" i="536"/>
  <c r="K101" i="536"/>
  <c r="L98" i="536"/>
  <c r="L99" i="536"/>
  <c r="L101" i="536"/>
  <c r="M98" i="536"/>
  <c r="M99" i="536"/>
  <c r="M101" i="536"/>
  <c r="N98" i="536"/>
  <c r="N99" i="536"/>
  <c r="N101" i="536"/>
  <c r="O98" i="536"/>
  <c r="O99" i="536"/>
  <c r="O101" i="536"/>
  <c r="P98" i="536"/>
  <c r="P99" i="536"/>
  <c r="P101" i="536"/>
  <c r="Q98" i="536"/>
  <c r="Q99" i="536"/>
  <c r="Q101" i="536"/>
  <c r="R98" i="536"/>
  <c r="R99" i="536"/>
  <c r="R101" i="536"/>
  <c r="S101" i="536"/>
  <c r="G100" i="536"/>
  <c r="H100" i="536"/>
  <c r="I100" i="536"/>
  <c r="J100" i="536"/>
  <c r="K100" i="536"/>
  <c r="L100" i="536"/>
  <c r="M100" i="536"/>
  <c r="N100" i="536"/>
  <c r="O100" i="536"/>
  <c r="P100" i="536"/>
  <c r="Q100" i="536"/>
  <c r="R100" i="536"/>
  <c r="S100" i="536"/>
  <c r="S99" i="536"/>
  <c r="S98" i="536"/>
  <c r="S97" i="536"/>
  <c r="S95" i="536"/>
  <c r="S93" i="536"/>
  <c r="S92" i="536"/>
  <c r="S91" i="536"/>
  <c r="S90" i="536"/>
  <c r="S89" i="536"/>
  <c r="S88" i="536"/>
  <c r="S87" i="536"/>
  <c r="S86" i="536"/>
  <c r="S85" i="536"/>
  <c r="S84" i="536"/>
  <c r="S83" i="536"/>
  <c r="S82" i="536"/>
  <c r="D82" i="536"/>
  <c r="S81" i="536"/>
  <c r="D81" i="536"/>
  <c r="S80" i="536"/>
  <c r="D80" i="536"/>
  <c r="S79" i="536"/>
  <c r="D79" i="536"/>
  <c r="S78" i="536"/>
  <c r="D78" i="536"/>
  <c r="S77" i="536"/>
  <c r="D77" i="536"/>
  <c r="S76" i="536"/>
  <c r="S75" i="536"/>
  <c r="S74" i="536"/>
  <c r="S73" i="536"/>
  <c r="S72" i="536"/>
  <c r="S70" i="536"/>
  <c r="S69" i="536"/>
  <c r="S68" i="536"/>
  <c r="S67" i="536"/>
  <c r="S66" i="536"/>
  <c r="S65" i="536"/>
  <c r="S64" i="536"/>
  <c r="S63" i="536"/>
  <c r="S62" i="536"/>
  <c r="S61" i="536"/>
  <c r="S60" i="536"/>
  <c r="S59" i="536"/>
  <c r="S58" i="536"/>
  <c r="S57" i="536"/>
  <c r="S56" i="536"/>
  <c r="S55" i="536"/>
  <c r="S54" i="536"/>
  <c r="E54" i="536"/>
  <c r="C54" i="536"/>
  <c r="S53" i="536"/>
  <c r="E53" i="536"/>
  <c r="C53" i="536"/>
  <c r="S52" i="536"/>
  <c r="E52" i="536"/>
  <c r="C52" i="536"/>
  <c r="S51" i="536"/>
  <c r="E51" i="536"/>
  <c r="C51" i="536"/>
  <c r="S50" i="536"/>
  <c r="E50" i="536"/>
  <c r="C50" i="536"/>
  <c r="S49" i="536"/>
  <c r="E49" i="536"/>
  <c r="C49" i="536"/>
  <c r="S48" i="536"/>
  <c r="S47" i="536"/>
  <c r="S46" i="536"/>
  <c r="S45" i="536"/>
  <c r="R2" i="536"/>
  <c r="R44" i="536"/>
  <c r="Q2" i="536"/>
  <c r="Q44" i="536"/>
  <c r="P2" i="536"/>
  <c r="P44" i="536"/>
  <c r="O2" i="536"/>
  <c r="O44" i="536"/>
  <c r="N2" i="536"/>
  <c r="N44" i="536"/>
  <c r="M2" i="536"/>
  <c r="M44" i="536"/>
  <c r="L2" i="536"/>
  <c r="L44" i="536"/>
  <c r="K2" i="536"/>
  <c r="K44" i="536"/>
  <c r="J2" i="536"/>
  <c r="J44" i="536"/>
  <c r="I2" i="536"/>
  <c r="I44" i="536"/>
  <c r="H2" i="536"/>
  <c r="H44" i="536"/>
  <c r="G2" i="536"/>
  <c r="G44" i="536"/>
  <c r="A44" i="536"/>
  <c r="R7" i="536"/>
  <c r="Q7" i="536"/>
  <c r="P7" i="536"/>
  <c r="O7" i="536"/>
  <c r="N7" i="536"/>
  <c r="M7" i="536"/>
  <c r="L7" i="536"/>
  <c r="K7" i="536"/>
  <c r="J7" i="536"/>
  <c r="I7" i="536"/>
  <c r="H7" i="536"/>
  <c r="H1" i="536"/>
  <c r="I1" i="536"/>
  <c r="J1" i="536"/>
  <c r="K1" i="536"/>
  <c r="L1" i="536"/>
  <c r="M1" i="536"/>
  <c r="N1" i="536"/>
  <c r="O1" i="536"/>
  <c r="P1" i="536"/>
  <c r="Q1" i="536"/>
  <c r="R1" i="536"/>
  <c r="B74" i="535"/>
  <c r="B75" i="535"/>
  <c r="B76" i="535"/>
  <c r="B77" i="535"/>
  <c r="B78" i="535"/>
  <c r="B79" i="535"/>
  <c r="B80" i="535"/>
  <c r="B81" i="535"/>
  <c r="B82" i="535"/>
  <c r="B83" i="535"/>
  <c r="B84" i="535"/>
  <c r="B85" i="535"/>
  <c r="B86" i="535"/>
  <c r="B87" i="535"/>
  <c r="B88" i="535"/>
  <c r="B89" i="535"/>
  <c r="B90" i="535"/>
  <c r="B91" i="535"/>
  <c r="B92" i="535"/>
  <c r="B93" i="535"/>
  <c r="B94" i="535"/>
  <c r="B95" i="535"/>
  <c r="B96" i="535"/>
  <c r="B97" i="535"/>
  <c r="B98" i="535"/>
  <c r="B99" i="535"/>
  <c r="B100" i="535"/>
  <c r="B101" i="535"/>
  <c r="B102" i="535"/>
  <c r="B103" i="535"/>
  <c r="B104" i="535"/>
  <c r="B105" i="535"/>
  <c r="D205" i="535"/>
  <c r="B173" i="535"/>
  <c r="B174" i="535"/>
  <c r="B175" i="535"/>
  <c r="B176" i="535"/>
  <c r="B177" i="535"/>
  <c r="B178" i="535"/>
  <c r="B179" i="535"/>
  <c r="B180" i="535"/>
  <c r="B181" i="535"/>
  <c r="B182" i="535"/>
  <c r="B183" i="535"/>
  <c r="B184" i="535"/>
  <c r="B185" i="535"/>
  <c r="B186" i="535"/>
  <c r="B187" i="535"/>
  <c r="B188" i="535"/>
  <c r="B189" i="535"/>
  <c r="B190" i="535"/>
  <c r="B191" i="535"/>
  <c r="B192" i="535"/>
  <c r="B193" i="535"/>
  <c r="B194" i="535"/>
  <c r="B195" i="535"/>
  <c r="B196" i="535"/>
  <c r="B197" i="535"/>
  <c r="B198" i="535"/>
  <c r="B199" i="535"/>
  <c r="B200" i="535"/>
  <c r="B201" i="535"/>
  <c r="B202" i="535"/>
  <c r="B203" i="535"/>
  <c r="B204" i="535"/>
  <c r="B205" i="535"/>
  <c r="D204" i="535"/>
  <c r="R203" i="535"/>
  <c r="Q203" i="535"/>
  <c r="P203" i="535"/>
  <c r="O203" i="535"/>
  <c r="N203" i="535"/>
  <c r="M203" i="535"/>
  <c r="L203" i="535"/>
  <c r="K203" i="535"/>
  <c r="J203" i="535"/>
  <c r="I203" i="535"/>
  <c r="H203" i="535"/>
  <c r="G203" i="535"/>
  <c r="D203" i="535"/>
  <c r="R202" i="535"/>
  <c r="Q202" i="535"/>
  <c r="P202" i="535"/>
  <c r="O202" i="535"/>
  <c r="N202" i="535"/>
  <c r="M202" i="535"/>
  <c r="L202" i="535"/>
  <c r="K202" i="535"/>
  <c r="J202" i="535"/>
  <c r="I202" i="535"/>
  <c r="H202" i="535"/>
  <c r="G202" i="535"/>
  <c r="D202" i="535"/>
  <c r="D201" i="535"/>
  <c r="D200" i="535"/>
  <c r="D199" i="535"/>
  <c r="D198" i="535"/>
  <c r="D197" i="535"/>
  <c r="D196" i="535"/>
  <c r="H26" i="535"/>
  <c r="I26" i="535"/>
  <c r="J26" i="535"/>
  <c r="K26" i="535"/>
  <c r="L26" i="535"/>
  <c r="M26" i="535"/>
  <c r="N26" i="535"/>
  <c r="O26" i="535"/>
  <c r="P26" i="535"/>
  <c r="Q26" i="535"/>
  <c r="R26" i="535"/>
  <c r="D195" i="535"/>
  <c r="D194" i="535"/>
  <c r="D193" i="535"/>
  <c r="R64" i="535"/>
  <c r="R102" i="535"/>
  <c r="R90" i="535"/>
  <c r="R91" i="535"/>
  <c r="Q64" i="535"/>
  <c r="Q102" i="535"/>
  <c r="Q90" i="535"/>
  <c r="Q91" i="535"/>
  <c r="P64" i="535"/>
  <c r="P102" i="535"/>
  <c r="P90" i="535"/>
  <c r="P91" i="535"/>
  <c r="O64" i="535"/>
  <c r="O102" i="535"/>
  <c r="O90" i="535"/>
  <c r="O91" i="535"/>
  <c r="N64" i="535"/>
  <c r="N102" i="535"/>
  <c r="N90" i="535"/>
  <c r="N91" i="535"/>
  <c r="M64" i="535"/>
  <c r="M102" i="535"/>
  <c r="M90" i="535"/>
  <c r="M91" i="535"/>
  <c r="L64" i="535"/>
  <c r="L102" i="535"/>
  <c r="L90" i="535"/>
  <c r="L91" i="535"/>
  <c r="K64" i="535"/>
  <c r="K102" i="535"/>
  <c r="K90" i="535"/>
  <c r="K91" i="535"/>
  <c r="J64" i="535"/>
  <c r="J102" i="535"/>
  <c r="J90" i="535"/>
  <c r="J91" i="535"/>
  <c r="I64" i="535"/>
  <c r="I102" i="535"/>
  <c r="I90" i="535"/>
  <c r="I91" i="535"/>
  <c r="H64" i="535"/>
  <c r="H102" i="535"/>
  <c r="H90" i="535"/>
  <c r="H91" i="535"/>
  <c r="G102" i="535"/>
  <c r="G90" i="535"/>
  <c r="G91" i="535"/>
  <c r="D192" i="535"/>
  <c r="D191" i="535"/>
  <c r="D190" i="535"/>
  <c r="D189" i="535"/>
  <c r="R188" i="535"/>
  <c r="Q188" i="535"/>
  <c r="P188" i="535"/>
  <c r="O188" i="535"/>
  <c r="N188" i="535"/>
  <c r="M188" i="535"/>
  <c r="L188" i="535"/>
  <c r="K188" i="535"/>
  <c r="J188" i="535"/>
  <c r="I188" i="535"/>
  <c r="H188" i="535"/>
  <c r="G188" i="535"/>
  <c r="D188" i="535"/>
  <c r="R187" i="535"/>
  <c r="Q187" i="535"/>
  <c r="P187" i="535"/>
  <c r="O187" i="535"/>
  <c r="N187" i="535"/>
  <c r="M187" i="535"/>
  <c r="L187" i="535"/>
  <c r="K187" i="535"/>
  <c r="J187" i="535"/>
  <c r="I187" i="535"/>
  <c r="H187" i="535"/>
  <c r="G187" i="535"/>
  <c r="D187" i="535"/>
  <c r="D186" i="535"/>
  <c r="R185" i="535"/>
  <c r="Q185" i="535"/>
  <c r="P185" i="535"/>
  <c r="O185" i="535"/>
  <c r="N185" i="535"/>
  <c r="M185" i="535"/>
  <c r="L185" i="535"/>
  <c r="K185" i="535"/>
  <c r="J185" i="535"/>
  <c r="I185" i="535"/>
  <c r="H185" i="535"/>
  <c r="G185" i="535"/>
  <c r="D185" i="535"/>
  <c r="R184" i="535"/>
  <c r="Q184" i="535"/>
  <c r="P184" i="535"/>
  <c r="O184" i="535"/>
  <c r="N184" i="535"/>
  <c r="M184" i="535"/>
  <c r="L184" i="535"/>
  <c r="K184" i="535"/>
  <c r="J184" i="535"/>
  <c r="I184" i="535"/>
  <c r="H184" i="535"/>
  <c r="G184" i="535"/>
  <c r="D184" i="535"/>
  <c r="R183" i="535"/>
  <c r="Q183" i="535"/>
  <c r="P183" i="535"/>
  <c r="O183" i="535"/>
  <c r="N183" i="535"/>
  <c r="M183" i="535"/>
  <c r="L183" i="535"/>
  <c r="K183" i="535"/>
  <c r="J183" i="535"/>
  <c r="I183" i="535"/>
  <c r="H183" i="535"/>
  <c r="G183" i="535"/>
  <c r="D183" i="535"/>
  <c r="R182" i="535"/>
  <c r="Q182" i="535"/>
  <c r="P182" i="535"/>
  <c r="O182" i="535"/>
  <c r="N182" i="535"/>
  <c r="M182" i="535"/>
  <c r="L182" i="535"/>
  <c r="K182" i="535"/>
  <c r="J182" i="535"/>
  <c r="I182" i="535"/>
  <c r="H182" i="535"/>
  <c r="G182" i="535"/>
  <c r="D182" i="535"/>
  <c r="R181" i="535"/>
  <c r="Q181" i="535"/>
  <c r="P181" i="535"/>
  <c r="O181" i="535"/>
  <c r="N181" i="535"/>
  <c r="M181" i="535"/>
  <c r="L181" i="535"/>
  <c r="K181" i="535"/>
  <c r="J181" i="535"/>
  <c r="I181" i="535"/>
  <c r="H181" i="535"/>
  <c r="G181" i="535"/>
  <c r="D181" i="535"/>
  <c r="R180" i="535"/>
  <c r="Q180" i="535"/>
  <c r="P180" i="535"/>
  <c r="O180" i="535"/>
  <c r="N180" i="535"/>
  <c r="M180" i="535"/>
  <c r="L180" i="535"/>
  <c r="K180" i="535"/>
  <c r="J180" i="535"/>
  <c r="I180" i="535"/>
  <c r="H180" i="535"/>
  <c r="G180" i="535"/>
  <c r="D180" i="535"/>
  <c r="R179" i="535"/>
  <c r="Q179" i="535"/>
  <c r="P179" i="535"/>
  <c r="O179" i="535"/>
  <c r="N179" i="535"/>
  <c r="M179" i="535"/>
  <c r="L179" i="535"/>
  <c r="K179" i="535"/>
  <c r="J179" i="535"/>
  <c r="I179" i="535"/>
  <c r="H179" i="535"/>
  <c r="G179" i="535"/>
  <c r="D179" i="535"/>
  <c r="R178" i="535"/>
  <c r="Q178" i="535"/>
  <c r="P178" i="535"/>
  <c r="O178" i="535"/>
  <c r="N178" i="535"/>
  <c r="M178" i="535"/>
  <c r="L178" i="535"/>
  <c r="K178" i="535"/>
  <c r="J178" i="535"/>
  <c r="I178" i="535"/>
  <c r="H178" i="535"/>
  <c r="G178" i="535"/>
  <c r="D178" i="535"/>
  <c r="R177" i="535"/>
  <c r="Q177" i="535"/>
  <c r="P177" i="535"/>
  <c r="O177" i="535"/>
  <c r="N177" i="535"/>
  <c r="M177" i="535"/>
  <c r="L177" i="535"/>
  <c r="K177" i="535"/>
  <c r="J177" i="535"/>
  <c r="I177" i="535"/>
  <c r="H177" i="535"/>
  <c r="G177" i="535"/>
  <c r="D177" i="535"/>
  <c r="R176" i="535"/>
  <c r="Q176" i="535"/>
  <c r="P176" i="535"/>
  <c r="O176" i="535"/>
  <c r="N176" i="535"/>
  <c r="M176" i="535"/>
  <c r="L176" i="535"/>
  <c r="K176" i="535"/>
  <c r="J176" i="535"/>
  <c r="I176" i="535"/>
  <c r="H176" i="535"/>
  <c r="G176" i="535"/>
  <c r="D176" i="535"/>
  <c r="R175" i="535"/>
  <c r="Q175" i="535"/>
  <c r="P175" i="535"/>
  <c r="O175" i="535"/>
  <c r="N175" i="535"/>
  <c r="M175" i="535"/>
  <c r="L175" i="535"/>
  <c r="K175" i="535"/>
  <c r="J175" i="535"/>
  <c r="I175" i="535"/>
  <c r="H175" i="535"/>
  <c r="G175" i="535"/>
  <c r="D175" i="535"/>
  <c r="R174" i="535"/>
  <c r="Q174" i="535"/>
  <c r="P174" i="535"/>
  <c r="O174" i="535"/>
  <c r="N174" i="535"/>
  <c r="M174" i="535"/>
  <c r="L174" i="535"/>
  <c r="K174" i="535"/>
  <c r="J174" i="535"/>
  <c r="I174" i="535"/>
  <c r="H174" i="535"/>
  <c r="G174" i="535"/>
  <c r="D174" i="535"/>
  <c r="D173" i="535"/>
  <c r="G64" i="535"/>
  <c r="R172" i="535"/>
  <c r="Q172" i="535"/>
  <c r="P172" i="535"/>
  <c r="O172" i="535"/>
  <c r="N172" i="535"/>
  <c r="M172" i="535"/>
  <c r="L172" i="535"/>
  <c r="K172" i="535"/>
  <c r="J172" i="535"/>
  <c r="I172" i="535"/>
  <c r="H172" i="535"/>
  <c r="G172" i="535"/>
  <c r="R170" i="535"/>
  <c r="Q170" i="535"/>
  <c r="P170" i="535"/>
  <c r="O170" i="535"/>
  <c r="N170" i="535"/>
  <c r="M170" i="535"/>
  <c r="L170" i="535"/>
  <c r="K170" i="535"/>
  <c r="J170" i="535"/>
  <c r="I170" i="535"/>
  <c r="H170" i="535"/>
  <c r="G170" i="535"/>
  <c r="D170" i="535"/>
  <c r="R169" i="535"/>
  <c r="Q169" i="535"/>
  <c r="P169" i="535"/>
  <c r="O169" i="535"/>
  <c r="N169" i="535"/>
  <c r="M169" i="535"/>
  <c r="L169" i="535"/>
  <c r="K169" i="535"/>
  <c r="J169" i="535"/>
  <c r="I169" i="535"/>
  <c r="H169" i="535"/>
  <c r="G169" i="535"/>
  <c r="D169" i="535"/>
  <c r="R168" i="535"/>
  <c r="Q168" i="535"/>
  <c r="P168" i="535"/>
  <c r="O168" i="535"/>
  <c r="N168" i="535"/>
  <c r="M168" i="535"/>
  <c r="L168" i="535"/>
  <c r="K168" i="535"/>
  <c r="J168" i="535"/>
  <c r="I168" i="535"/>
  <c r="H168" i="535"/>
  <c r="G168" i="535"/>
  <c r="D168" i="535"/>
  <c r="D167" i="535"/>
  <c r="R166" i="535"/>
  <c r="Q166" i="535"/>
  <c r="P166" i="535"/>
  <c r="O166" i="535"/>
  <c r="N166" i="535"/>
  <c r="M166" i="535"/>
  <c r="L166" i="535"/>
  <c r="K166" i="535"/>
  <c r="J166" i="535"/>
  <c r="I166" i="535"/>
  <c r="H166" i="535"/>
  <c r="G166" i="535"/>
  <c r="D166" i="535"/>
  <c r="R165" i="535"/>
  <c r="Q165" i="535"/>
  <c r="P165" i="535"/>
  <c r="O165" i="535"/>
  <c r="N165" i="535"/>
  <c r="M165" i="535"/>
  <c r="L165" i="535"/>
  <c r="K165" i="535"/>
  <c r="J165" i="535"/>
  <c r="I165" i="535"/>
  <c r="H165" i="535"/>
  <c r="G165" i="535"/>
  <c r="D165" i="535"/>
  <c r="R164" i="535"/>
  <c r="Q164" i="535"/>
  <c r="P164" i="535"/>
  <c r="O164" i="535"/>
  <c r="N164" i="535"/>
  <c r="M164" i="535"/>
  <c r="L164" i="535"/>
  <c r="K164" i="535"/>
  <c r="J164" i="535"/>
  <c r="I164" i="535"/>
  <c r="H164" i="535"/>
  <c r="G164" i="535"/>
  <c r="D164" i="535"/>
  <c r="R163" i="535"/>
  <c r="Q163" i="535"/>
  <c r="P163" i="535"/>
  <c r="O163" i="535"/>
  <c r="N163" i="535"/>
  <c r="M163" i="535"/>
  <c r="L163" i="535"/>
  <c r="K163" i="535"/>
  <c r="J163" i="535"/>
  <c r="I163" i="535"/>
  <c r="H163" i="535"/>
  <c r="G163" i="535"/>
  <c r="D163" i="535"/>
  <c r="D162" i="535"/>
  <c r="R161" i="535"/>
  <c r="Q161" i="535"/>
  <c r="P161" i="535"/>
  <c r="O161" i="535"/>
  <c r="N161" i="535"/>
  <c r="M161" i="535"/>
  <c r="L161" i="535"/>
  <c r="K161" i="535"/>
  <c r="J161" i="535"/>
  <c r="I161" i="535"/>
  <c r="H161" i="535"/>
  <c r="G161" i="535"/>
  <c r="D161" i="535"/>
  <c r="R160" i="535"/>
  <c r="Q160" i="535"/>
  <c r="P160" i="535"/>
  <c r="O160" i="535"/>
  <c r="N160" i="535"/>
  <c r="M160" i="535"/>
  <c r="L160" i="535"/>
  <c r="K160" i="535"/>
  <c r="J160" i="535"/>
  <c r="I160" i="535"/>
  <c r="H160" i="535"/>
  <c r="G160" i="535"/>
  <c r="D160" i="535"/>
  <c r="R159" i="535"/>
  <c r="Q159" i="535"/>
  <c r="P159" i="535"/>
  <c r="O159" i="535"/>
  <c r="N159" i="535"/>
  <c r="M159" i="535"/>
  <c r="L159" i="535"/>
  <c r="K159" i="535"/>
  <c r="J159" i="535"/>
  <c r="I159" i="535"/>
  <c r="H159" i="535"/>
  <c r="G159" i="535"/>
  <c r="D159" i="535"/>
  <c r="R158" i="535"/>
  <c r="Q158" i="535"/>
  <c r="P158" i="535"/>
  <c r="O158" i="535"/>
  <c r="N158" i="535"/>
  <c r="M158" i="535"/>
  <c r="L158" i="535"/>
  <c r="K158" i="535"/>
  <c r="J158" i="535"/>
  <c r="I158" i="535"/>
  <c r="H158" i="535"/>
  <c r="G158" i="535"/>
  <c r="D158" i="535"/>
  <c r="R157" i="535"/>
  <c r="Q157" i="535"/>
  <c r="P157" i="535"/>
  <c r="O157" i="535"/>
  <c r="N157" i="535"/>
  <c r="M157" i="535"/>
  <c r="L157" i="535"/>
  <c r="K157" i="535"/>
  <c r="J157" i="535"/>
  <c r="I157" i="535"/>
  <c r="H157" i="535"/>
  <c r="G157" i="535"/>
  <c r="D157" i="535"/>
  <c r="R156" i="535"/>
  <c r="Q156" i="535"/>
  <c r="P156" i="535"/>
  <c r="O156" i="535"/>
  <c r="N156" i="535"/>
  <c r="M156" i="535"/>
  <c r="L156" i="535"/>
  <c r="K156" i="535"/>
  <c r="J156" i="535"/>
  <c r="I156" i="535"/>
  <c r="H156" i="535"/>
  <c r="G156" i="535"/>
  <c r="D156" i="535"/>
  <c r="R155" i="535"/>
  <c r="Q155" i="535"/>
  <c r="P155" i="535"/>
  <c r="O155" i="535"/>
  <c r="N155" i="535"/>
  <c r="M155" i="535"/>
  <c r="L155" i="535"/>
  <c r="K155" i="535"/>
  <c r="J155" i="535"/>
  <c r="I155" i="535"/>
  <c r="H155" i="535"/>
  <c r="G155" i="535"/>
  <c r="D155" i="535"/>
  <c r="R154" i="535"/>
  <c r="Q154" i="535"/>
  <c r="P154" i="535"/>
  <c r="O154" i="535"/>
  <c r="N154" i="535"/>
  <c r="M154" i="535"/>
  <c r="L154" i="535"/>
  <c r="K154" i="535"/>
  <c r="J154" i="535"/>
  <c r="I154" i="535"/>
  <c r="H154" i="535"/>
  <c r="G154" i="535"/>
  <c r="D154" i="535"/>
  <c r="R153" i="535"/>
  <c r="Q153" i="535"/>
  <c r="P153" i="535"/>
  <c r="O153" i="535"/>
  <c r="N153" i="535"/>
  <c r="M153" i="535"/>
  <c r="L153" i="535"/>
  <c r="K153" i="535"/>
  <c r="J153" i="535"/>
  <c r="I153" i="535"/>
  <c r="H153" i="535"/>
  <c r="G153" i="535"/>
  <c r="D153" i="535"/>
  <c r="R152" i="535"/>
  <c r="Q152" i="535"/>
  <c r="P152" i="535"/>
  <c r="O152" i="535"/>
  <c r="N152" i="535"/>
  <c r="M152" i="535"/>
  <c r="L152" i="535"/>
  <c r="K152" i="535"/>
  <c r="J152" i="535"/>
  <c r="I152" i="535"/>
  <c r="H152" i="535"/>
  <c r="G152" i="535"/>
  <c r="D152" i="535"/>
  <c r="R151" i="535"/>
  <c r="Q151" i="535"/>
  <c r="P151" i="535"/>
  <c r="O151" i="535"/>
  <c r="N151" i="535"/>
  <c r="M151" i="535"/>
  <c r="L151" i="535"/>
  <c r="K151" i="535"/>
  <c r="J151" i="535"/>
  <c r="I151" i="535"/>
  <c r="H151" i="535"/>
  <c r="G151" i="535"/>
  <c r="D151" i="535"/>
  <c r="G150" i="535"/>
  <c r="D150" i="535"/>
  <c r="G149" i="535"/>
  <c r="D149" i="535"/>
  <c r="G148" i="535"/>
  <c r="D148" i="535"/>
  <c r="N143" i="535"/>
  <c r="M143" i="535"/>
  <c r="L143" i="535"/>
  <c r="K143" i="535"/>
  <c r="J143" i="535"/>
  <c r="I143" i="535"/>
  <c r="H143" i="535"/>
  <c r="G143" i="535"/>
  <c r="G147" i="535"/>
  <c r="D147" i="535"/>
  <c r="G146" i="535"/>
  <c r="D146" i="535"/>
  <c r="R145" i="535"/>
  <c r="Q145" i="535"/>
  <c r="P145" i="535"/>
  <c r="O145" i="535"/>
  <c r="N145" i="535"/>
  <c r="M145" i="535"/>
  <c r="L145" i="535"/>
  <c r="K145" i="535"/>
  <c r="J145" i="535"/>
  <c r="I145" i="535"/>
  <c r="H145" i="535"/>
  <c r="G145" i="535"/>
  <c r="D145" i="535"/>
  <c r="R143" i="535"/>
  <c r="Q143" i="535"/>
  <c r="P143" i="535"/>
  <c r="O143" i="535"/>
  <c r="R142" i="535"/>
  <c r="Q142" i="535"/>
  <c r="P142" i="535"/>
  <c r="O142" i="535"/>
  <c r="N142" i="535"/>
  <c r="M142" i="535"/>
  <c r="L142" i="535"/>
  <c r="K142" i="535"/>
  <c r="J142" i="535"/>
  <c r="I142" i="535"/>
  <c r="H142" i="535"/>
  <c r="G142" i="535"/>
  <c r="R109" i="535"/>
  <c r="R141" i="535"/>
  <c r="Q109" i="535"/>
  <c r="Q141" i="535"/>
  <c r="P109" i="535"/>
  <c r="P141" i="535"/>
  <c r="O109" i="535"/>
  <c r="O141" i="535"/>
  <c r="N109" i="535"/>
  <c r="N141" i="535"/>
  <c r="M109" i="535"/>
  <c r="M141" i="535"/>
  <c r="L109" i="535"/>
  <c r="L141" i="535"/>
  <c r="K109" i="535"/>
  <c r="K141" i="535"/>
  <c r="J109" i="535"/>
  <c r="J141" i="535"/>
  <c r="I109" i="535"/>
  <c r="I141" i="535"/>
  <c r="H109" i="535"/>
  <c r="H141" i="535"/>
  <c r="G109" i="535"/>
  <c r="G141" i="535"/>
  <c r="R139" i="535"/>
  <c r="Q139" i="535"/>
  <c r="P139" i="535"/>
  <c r="O139" i="535"/>
  <c r="N139" i="535"/>
  <c r="M139" i="535"/>
  <c r="L139" i="535"/>
  <c r="K139" i="535"/>
  <c r="J139" i="535"/>
  <c r="I139" i="535"/>
  <c r="H139" i="535"/>
  <c r="G139" i="535"/>
  <c r="G121" i="535"/>
  <c r="G122" i="535"/>
  <c r="G123" i="535"/>
  <c r="I123" i="535"/>
  <c r="I124" i="535"/>
  <c r="H123" i="535"/>
  <c r="H124" i="535"/>
  <c r="G124" i="535"/>
  <c r="I122" i="535"/>
  <c r="B106" i="535"/>
  <c r="B107" i="535"/>
  <c r="B108" i="535"/>
  <c r="B109" i="535"/>
  <c r="B110" i="535"/>
  <c r="B111" i="535"/>
  <c r="B112" i="535"/>
  <c r="B113" i="535"/>
  <c r="S107" i="535"/>
  <c r="S106" i="535"/>
  <c r="G65" i="535"/>
  <c r="G66" i="535"/>
  <c r="G67" i="535"/>
  <c r="G73" i="535"/>
  <c r="G92" i="535"/>
  <c r="G93" i="535"/>
  <c r="G94" i="535"/>
  <c r="G95" i="535"/>
  <c r="G104" i="535"/>
  <c r="G105" i="535"/>
  <c r="H65" i="535"/>
  <c r="H66" i="535"/>
  <c r="H67" i="535"/>
  <c r="H73" i="535"/>
  <c r="H92" i="535"/>
  <c r="H93" i="535"/>
  <c r="H27" i="535"/>
  <c r="H94" i="535"/>
  <c r="H95" i="535"/>
  <c r="H104" i="535"/>
  <c r="H105" i="535"/>
  <c r="I65" i="535"/>
  <c r="I66" i="535"/>
  <c r="I67" i="535"/>
  <c r="I73" i="535"/>
  <c r="I92" i="535"/>
  <c r="I93" i="535"/>
  <c r="I27" i="535"/>
  <c r="I94" i="535"/>
  <c r="I95" i="535"/>
  <c r="I104" i="535"/>
  <c r="I105" i="535"/>
  <c r="J65" i="535"/>
  <c r="J66" i="535"/>
  <c r="J67" i="535"/>
  <c r="J73" i="535"/>
  <c r="J92" i="535"/>
  <c r="J93" i="535"/>
  <c r="J27" i="535"/>
  <c r="J94" i="535"/>
  <c r="J95" i="535"/>
  <c r="J104" i="535"/>
  <c r="J105" i="535"/>
  <c r="K65" i="535"/>
  <c r="K66" i="535"/>
  <c r="K67" i="535"/>
  <c r="K73" i="535"/>
  <c r="K92" i="535"/>
  <c r="K93" i="535"/>
  <c r="K27" i="535"/>
  <c r="K94" i="535"/>
  <c r="K95" i="535"/>
  <c r="K104" i="535"/>
  <c r="K105" i="535"/>
  <c r="L65" i="535"/>
  <c r="L66" i="535"/>
  <c r="L67" i="535"/>
  <c r="L73" i="535"/>
  <c r="L92" i="535"/>
  <c r="L93" i="535"/>
  <c r="L27" i="535"/>
  <c r="L94" i="535"/>
  <c r="L95" i="535"/>
  <c r="L104" i="535"/>
  <c r="L105" i="535"/>
  <c r="M65" i="535"/>
  <c r="M66" i="535"/>
  <c r="M67" i="535"/>
  <c r="M73" i="535"/>
  <c r="M92" i="535"/>
  <c r="M93" i="535"/>
  <c r="M27" i="535"/>
  <c r="M94" i="535"/>
  <c r="M95" i="535"/>
  <c r="M104" i="535"/>
  <c r="M105" i="535"/>
  <c r="N65" i="535"/>
  <c r="N66" i="535"/>
  <c r="N67" i="535"/>
  <c r="N73" i="535"/>
  <c r="N92" i="535"/>
  <c r="N93" i="535"/>
  <c r="N27" i="535"/>
  <c r="N94" i="535"/>
  <c r="N95" i="535"/>
  <c r="N104" i="535"/>
  <c r="N105" i="535"/>
  <c r="O65" i="535"/>
  <c r="O66" i="535"/>
  <c r="O67" i="535"/>
  <c r="O73" i="535"/>
  <c r="O92" i="535"/>
  <c r="O93" i="535"/>
  <c r="O27" i="535"/>
  <c r="O94" i="535"/>
  <c r="O95" i="535"/>
  <c r="O104" i="535"/>
  <c r="O105" i="535"/>
  <c r="P65" i="535"/>
  <c r="P66" i="535"/>
  <c r="P67" i="535"/>
  <c r="P73" i="535"/>
  <c r="P92" i="535"/>
  <c r="P93" i="535"/>
  <c r="P27" i="535"/>
  <c r="P94" i="535"/>
  <c r="P95" i="535"/>
  <c r="P104" i="535"/>
  <c r="P105" i="535"/>
  <c r="Q65" i="535"/>
  <c r="Q66" i="535"/>
  <c r="Q67" i="535"/>
  <c r="Q73" i="535"/>
  <c r="Q92" i="535"/>
  <c r="Q93" i="535"/>
  <c r="Q27" i="535"/>
  <c r="Q94" i="535"/>
  <c r="Q95" i="535"/>
  <c r="Q104" i="535"/>
  <c r="Q105" i="535"/>
  <c r="R65" i="535"/>
  <c r="R66" i="535"/>
  <c r="R67" i="535"/>
  <c r="R73" i="535"/>
  <c r="R92" i="535"/>
  <c r="R93" i="535"/>
  <c r="R27" i="535"/>
  <c r="R94" i="535"/>
  <c r="R95" i="535"/>
  <c r="R104" i="535"/>
  <c r="R105" i="535"/>
  <c r="S105" i="535"/>
  <c r="S104" i="535"/>
  <c r="G103" i="535"/>
  <c r="H103" i="535"/>
  <c r="I103" i="535"/>
  <c r="J103" i="535"/>
  <c r="K103" i="535"/>
  <c r="L103" i="535"/>
  <c r="M103" i="535"/>
  <c r="N103" i="535"/>
  <c r="O103" i="535"/>
  <c r="P103" i="535"/>
  <c r="Q103" i="535"/>
  <c r="R103" i="535"/>
  <c r="S103" i="535"/>
  <c r="S102" i="535"/>
  <c r="G98" i="535"/>
  <c r="G99" i="535"/>
  <c r="G101" i="535"/>
  <c r="H98" i="535"/>
  <c r="H99" i="535"/>
  <c r="H101" i="535"/>
  <c r="I98" i="535"/>
  <c r="I99" i="535"/>
  <c r="I101" i="535"/>
  <c r="J98" i="535"/>
  <c r="J99" i="535"/>
  <c r="J101" i="535"/>
  <c r="K98" i="535"/>
  <c r="K99" i="535"/>
  <c r="K101" i="535"/>
  <c r="L98" i="535"/>
  <c r="L99" i="535"/>
  <c r="L101" i="535"/>
  <c r="M98" i="535"/>
  <c r="M99" i="535"/>
  <c r="M101" i="535"/>
  <c r="N98" i="535"/>
  <c r="N99" i="535"/>
  <c r="N101" i="535"/>
  <c r="O98" i="535"/>
  <c r="O99" i="535"/>
  <c r="O101" i="535"/>
  <c r="P98" i="535"/>
  <c r="P99" i="535"/>
  <c r="P101" i="535"/>
  <c r="Q98" i="535"/>
  <c r="Q99" i="535"/>
  <c r="Q101" i="535"/>
  <c r="R98" i="535"/>
  <c r="R99" i="535"/>
  <c r="R101" i="535"/>
  <c r="S101" i="535"/>
  <c r="G100" i="535"/>
  <c r="H100" i="535"/>
  <c r="I100" i="535"/>
  <c r="J100" i="535"/>
  <c r="K100" i="535"/>
  <c r="L100" i="535"/>
  <c r="M100" i="535"/>
  <c r="N100" i="535"/>
  <c r="O100" i="535"/>
  <c r="P100" i="535"/>
  <c r="Q100" i="535"/>
  <c r="R100" i="535"/>
  <c r="S100" i="535"/>
  <c r="S99" i="535"/>
  <c r="S98" i="535"/>
  <c r="S97" i="535"/>
  <c r="S95" i="535"/>
  <c r="S93" i="535"/>
  <c r="S92" i="535"/>
  <c r="S91" i="535"/>
  <c r="S90" i="535"/>
  <c r="S89" i="535"/>
  <c r="S88" i="535"/>
  <c r="S87" i="535"/>
  <c r="S86" i="535"/>
  <c r="S85" i="535"/>
  <c r="S84" i="535"/>
  <c r="S83" i="535"/>
  <c r="S82" i="535"/>
  <c r="D82" i="535"/>
  <c r="S81" i="535"/>
  <c r="D81" i="535"/>
  <c r="S80" i="535"/>
  <c r="D80" i="535"/>
  <c r="S79" i="535"/>
  <c r="D79" i="535"/>
  <c r="S78" i="535"/>
  <c r="D78" i="535"/>
  <c r="S77" i="535"/>
  <c r="D77" i="535"/>
  <c r="S76" i="535"/>
  <c r="S75" i="535"/>
  <c r="S74" i="535"/>
  <c r="S73" i="535"/>
  <c r="S72" i="535"/>
  <c r="S70" i="535"/>
  <c r="S69" i="535"/>
  <c r="S68" i="535"/>
  <c r="S67" i="535"/>
  <c r="S66" i="535"/>
  <c r="S65" i="535"/>
  <c r="S64" i="535"/>
  <c r="S63" i="535"/>
  <c r="S62" i="535"/>
  <c r="S61" i="535"/>
  <c r="S60" i="535"/>
  <c r="S59" i="535"/>
  <c r="S58" i="535"/>
  <c r="S57" i="535"/>
  <c r="S56" i="535"/>
  <c r="S55" i="535"/>
  <c r="S54" i="535"/>
  <c r="E54" i="535"/>
  <c r="C54" i="535"/>
  <c r="S53" i="535"/>
  <c r="E53" i="535"/>
  <c r="C53" i="535"/>
  <c r="S52" i="535"/>
  <c r="E52" i="535"/>
  <c r="C52" i="535"/>
  <c r="S51" i="535"/>
  <c r="E51" i="535"/>
  <c r="C51" i="535"/>
  <c r="S50" i="535"/>
  <c r="E50" i="535"/>
  <c r="C50" i="535"/>
  <c r="S49" i="535"/>
  <c r="E49" i="535"/>
  <c r="C49" i="535"/>
  <c r="S48" i="535"/>
  <c r="S47" i="535"/>
  <c r="S46" i="535"/>
  <c r="S45" i="535"/>
  <c r="R2" i="535"/>
  <c r="R44" i="535"/>
  <c r="Q2" i="535"/>
  <c r="Q44" i="535"/>
  <c r="P2" i="535"/>
  <c r="P44" i="535"/>
  <c r="O2" i="535"/>
  <c r="O44" i="535"/>
  <c r="N2" i="535"/>
  <c r="N44" i="535"/>
  <c r="M2" i="535"/>
  <c r="M44" i="535"/>
  <c r="L2" i="535"/>
  <c r="L44" i="535"/>
  <c r="K2" i="535"/>
  <c r="K44" i="535"/>
  <c r="J2" i="535"/>
  <c r="J44" i="535"/>
  <c r="I2" i="535"/>
  <c r="I44" i="535"/>
  <c r="H2" i="535"/>
  <c r="H44" i="535"/>
  <c r="G2" i="535"/>
  <c r="G44" i="535"/>
  <c r="A44" i="535"/>
  <c r="R7" i="535"/>
  <c r="Q7" i="535"/>
  <c r="P7" i="535"/>
  <c r="O7" i="535"/>
  <c r="N7" i="535"/>
  <c r="M7" i="535"/>
  <c r="L7" i="535"/>
  <c r="K7" i="535"/>
  <c r="J7" i="535"/>
  <c r="I7" i="535"/>
  <c r="H7" i="535"/>
  <c r="H1" i="535"/>
  <c r="I1" i="535"/>
  <c r="J1" i="535"/>
  <c r="K1" i="535"/>
  <c r="L1" i="535"/>
  <c r="M1" i="535"/>
  <c r="N1" i="535"/>
  <c r="O1" i="535"/>
  <c r="P1" i="535"/>
  <c r="Q1" i="535"/>
  <c r="R1" i="535"/>
  <c r="B74" i="534"/>
  <c r="B75" i="534"/>
  <c r="B76" i="534"/>
  <c r="B77" i="534"/>
  <c r="B78" i="534"/>
  <c r="B79" i="534"/>
  <c r="B80" i="534"/>
  <c r="B81" i="534"/>
  <c r="B82" i="534"/>
  <c r="B83" i="534"/>
  <c r="B84" i="534"/>
  <c r="B85" i="534"/>
  <c r="B86" i="534"/>
  <c r="B87" i="534"/>
  <c r="B88" i="534"/>
  <c r="B89" i="534"/>
  <c r="B90" i="534"/>
  <c r="B91" i="534"/>
  <c r="B92" i="534"/>
  <c r="B93" i="534"/>
  <c r="B94" i="534"/>
  <c r="B95" i="534"/>
  <c r="B96" i="534"/>
  <c r="B97" i="534"/>
  <c r="B98" i="534"/>
  <c r="B99" i="534"/>
  <c r="B100" i="534"/>
  <c r="B101" i="534"/>
  <c r="B102" i="534"/>
  <c r="B103" i="534"/>
  <c r="B104" i="534"/>
  <c r="B105" i="534"/>
  <c r="D205" i="534"/>
  <c r="B173" i="534"/>
  <c r="B174" i="534"/>
  <c r="B175" i="534"/>
  <c r="B176" i="534"/>
  <c r="B177" i="534"/>
  <c r="B178" i="534"/>
  <c r="B179" i="534"/>
  <c r="B180" i="534"/>
  <c r="B181" i="534"/>
  <c r="B182" i="534"/>
  <c r="B183" i="534"/>
  <c r="B184" i="534"/>
  <c r="B185" i="534"/>
  <c r="B186" i="534"/>
  <c r="B187" i="534"/>
  <c r="B188" i="534"/>
  <c r="B189" i="534"/>
  <c r="B190" i="534"/>
  <c r="B191" i="534"/>
  <c r="B192" i="534"/>
  <c r="B193" i="534"/>
  <c r="B194" i="534"/>
  <c r="B195" i="534"/>
  <c r="B196" i="534"/>
  <c r="B197" i="534"/>
  <c r="B198" i="534"/>
  <c r="B199" i="534"/>
  <c r="B200" i="534"/>
  <c r="B201" i="534"/>
  <c r="B202" i="534"/>
  <c r="B203" i="534"/>
  <c r="B204" i="534"/>
  <c r="B205" i="534"/>
  <c r="D204" i="534"/>
  <c r="R203" i="534"/>
  <c r="Q203" i="534"/>
  <c r="P203" i="534"/>
  <c r="O203" i="534"/>
  <c r="N203" i="534"/>
  <c r="M203" i="534"/>
  <c r="L203" i="534"/>
  <c r="K203" i="534"/>
  <c r="J203" i="534"/>
  <c r="I203" i="534"/>
  <c r="H203" i="534"/>
  <c r="G203" i="534"/>
  <c r="D203" i="534"/>
  <c r="R202" i="534"/>
  <c r="Q202" i="534"/>
  <c r="P202" i="534"/>
  <c r="O202" i="534"/>
  <c r="N202" i="534"/>
  <c r="M202" i="534"/>
  <c r="L202" i="534"/>
  <c r="K202" i="534"/>
  <c r="J202" i="534"/>
  <c r="I202" i="534"/>
  <c r="H202" i="534"/>
  <c r="G202" i="534"/>
  <c r="D202" i="534"/>
  <c r="D201" i="534"/>
  <c r="D200" i="534"/>
  <c r="D199" i="534"/>
  <c r="D198" i="534"/>
  <c r="D197" i="534"/>
  <c r="D196" i="534"/>
  <c r="H26" i="534"/>
  <c r="I26" i="534"/>
  <c r="J26" i="534"/>
  <c r="K26" i="534"/>
  <c r="L26" i="534"/>
  <c r="M26" i="534"/>
  <c r="N26" i="534"/>
  <c r="O26" i="534"/>
  <c r="P26" i="534"/>
  <c r="Q26" i="534"/>
  <c r="R26" i="534"/>
  <c r="D195" i="534"/>
  <c r="D194" i="534"/>
  <c r="D193" i="534"/>
  <c r="R64" i="534"/>
  <c r="R102" i="534"/>
  <c r="R90" i="534"/>
  <c r="R91" i="534"/>
  <c r="Q64" i="534"/>
  <c r="Q102" i="534"/>
  <c r="Q90" i="534"/>
  <c r="Q91" i="534"/>
  <c r="P64" i="534"/>
  <c r="P102" i="534"/>
  <c r="P90" i="534"/>
  <c r="P91" i="534"/>
  <c r="O64" i="534"/>
  <c r="O102" i="534"/>
  <c r="O90" i="534"/>
  <c r="O91" i="534"/>
  <c r="N64" i="534"/>
  <c r="N102" i="534"/>
  <c r="N90" i="534"/>
  <c r="N91" i="534"/>
  <c r="M64" i="534"/>
  <c r="M102" i="534"/>
  <c r="M90" i="534"/>
  <c r="M91" i="534"/>
  <c r="L64" i="534"/>
  <c r="L102" i="534"/>
  <c r="L90" i="534"/>
  <c r="L91" i="534"/>
  <c r="K64" i="534"/>
  <c r="K102" i="534"/>
  <c r="K90" i="534"/>
  <c r="K91" i="534"/>
  <c r="J64" i="534"/>
  <c r="J102" i="534"/>
  <c r="J90" i="534"/>
  <c r="J91" i="534"/>
  <c r="I64" i="534"/>
  <c r="I102" i="534"/>
  <c r="I90" i="534"/>
  <c r="I91" i="534"/>
  <c r="H64" i="534"/>
  <c r="H102" i="534"/>
  <c r="H90" i="534"/>
  <c r="H91" i="534"/>
  <c r="G102" i="534"/>
  <c r="G90" i="534"/>
  <c r="G91" i="534"/>
  <c r="D192" i="534"/>
  <c r="D191" i="534"/>
  <c r="D190" i="534"/>
  <c r="D189" i="534"/>
  <c r="R188" i="534"/>
  <c r="Q188" i="534"/>
  <c r="P188" i="534"/>
  <c r="O188" i="534"/>
  <c r="N188" i="534"/>
  <c r="M188" i="534"/>
  <c r="L188" i="534"/>
  <c r="K188" i="534"/>
  <c r="J188" i="534"/>
  <c r="I188" i="534"/>
  <c r="H188" i="534"/>
  <c r="G188" i="534"/>
  <c r="D188" i="534"/>
  <c r="R187" i="534"/>
  <c r="Q187" i="534"/>
  <c r="P187" i="534"/>
  <c r="O187" i="534"/>
  <c r="N187" i="534"/>
  <c r="M187" i="534"/>
  <c r="L187" i="534"/>
  <c r="K187" i="534"/>
  <c r="J187" i="534"/>
  <c r="I187" i="534"/>
  <c r="H187" i="534"/>
  <c r="G187" i="534"/>
  <c r="D187" i="534"/>
  <c r="D186" i="534"/>
  <c r="R185" i="534"/>
  <c r="Q185" i="534"/>
  <c r="P185" i="534"/>
  <c r="O185" i="534"/>
  <c r="N185" i="534"/>
  <c r="M185" i="534"/>
  <c r="L185" i="534"/>
  <c r="K185" i="534"/>
  <c r="J185" i="534"/>
  <c r="I185" i="534"/>
  <c r="H185" i="534"/>
  <c r="G185" i="534"/>
  <c r="D185" i="534"/>
  <c r="R184" i="534"/>
  <c r="Q184" i="534"/>
  <c r="P184" i="534"/>
  <c r="O184" i="534"/>
  <c r="N184" i="534"/>
  <c r="M184" i="534"/>
  <c r="L184" i="534"/>
  <c r="K184" i="534"/>
  <c r="J184" i="534"/>
  <c r="I184" i="534"/>
  <c r="H184" i="534"/>
  <c r="G184" i="534"/>
  <c r="D184" i="534"/>
  <c r="R183" i="534"/>
  <c r="Q183" i="534"/>
  <c r="P183" i="534"/>
  <c r="O183" i="534"/>
  <c r="N183" i="534"/>
  <c r="M183" i="534"/>
  <c r="L183" i="534"/>
  <c r="K183" i="534"/>
  <c r="J183" i="534"/>
  <c r="I183" i="534"/>
  <c r="H183" i="534"/>
  <c r="G183" i="534"/>
  <c r="D183" i="534"/>
  <c r="R182" i="534"/>
  <c r="Q182" i="534"/>
  <c r="P182" i="534"/>
  <c r="O182" i="534"/>
  <c r="N182" i="534"/>
  <c r="M182" i="534"/>
  <c r="L182" i="534"/>
  <c r="K182" i="534"/>
  <c r="J182" i="534"/>
  <c r="I182" i="534"/>
  <c r="H182" i="534"/>
  <c r="G182" i="534"/>
  <c r="D182" i="534"/>
  <c r="R181" i="534"/>
  <c r="Q181" i="534"/>
  <c r="P181" i="534"/>
  <c r="O181" i="534"/>
  <c r="N181" i="534"/>
  <c r="M181" i="534"/>
  <c r="L181" i="534"/>
  <c r="K181" i="534"/>
  <c r="J181" i="534"/>
  <c r="I181" i="534"/>
  <c r="H181" i="534"/>
  <c r="G181" i="534"/>
  <c r="D181" i="534"/>
  <c r="R180" i="534"/>
  <c r="Q180" i="534"/>
  <c r="P180" i="534"/>
  <c r="O180" i="534"/>
  <c r="N180" i="534"/>
  <c r="M180" i="534"/>
  <c r="L180" i="534"/>
  <c r="K180" i="534"/>
  <c r="J180" i="534"/>
  <c r="I180" i="534"/>
  <c r="H180" i="534"/>
  <c r="G180" i="534"/>
  <c r="D180" i="534"/>
  <c r="R179" i="534"/>
  <c r="Q179" i="534"/>
  <c r="P179" i="534"/>
  <c r="O179" i="534"/>
  <c r="N179" i="534"/>
  <c r="M179" i="534"/>
  <c r="L179" i="534"/>
  <c r="K179" i="534"/>
  <c r="J179" i="534"/>
  <c r="I179" i="534"/>
  <c r="H179" i="534"/>
  <c r="G179" i="534"/>
  <c r="D179" i="534"/>
  <c r="R178" i="534"/>
  <c r="Q178" i="534"/>
  <c r="P178" i="534"/>
  <c r="O178" i="534"/>
  <c r="N178" i="534"/>
  <c r="M178" i="534"/>
  <c r="L178" i="534"/>
  <c r="K178" i="534"/>
  <c r="J178" i="534"/>
  <c r="I178" i="534"/>
  <c r="H178" i="534"/>
  <c r="G178" i="534"/>
  <c r="D178" i="534"/>
  <c r="R177" i="534"/>
  <c r="Q177" i="534"/>
  <c r="P177" i="534"/>
  <c r="O177" i="534"/>
  <c r="N177" i="534"/>
  <c r="M177" i="534"/>
  <c r="L177" i="534"/>
  <c r="K177" i="534"/>
  <c r="J177" i="534"/>
  <c r="I177" i="534"/>
  <c r="H177" i="534"/>
  <c r="G177" i="534"/>
  <c r="D177" i="534"/>
  <c r="R176" i="534"/>
  <c r="Q176" i="534"/>
  <c r="P176" i="534"/>
  <c r="O176" i="534"/>
  <c r="N176" i="534"/>
  <c r="M176" i="534"/>
  <c r="L176" i="534"/>
  <c r="K176" i="534"/>
  <c r="J176" i="534"/>
  <c r="I176" i="534"/>
  <c r="H176" i="534"/>
  <c r="G176" i="534"/>
  <c r="D176" i="534"/>
  <c r="R175" i="534"/>
  <c r="Q175" i="534"/>
  <c r="P175" i="534"/>
  <c r="O175" i="534"/>
  <c r="N175" i="534"/>
  <c r="M175" i="534"/>
  <c r="L175" i="534"/>
  <c r="K175" i="534"/>
  <c r="J175" i="534"/>
  <c r="I175" i="534"/>
  <c r="H175" i="534"/>
  <c r="G175" i="534"/>
  <c r="D175" i="534"/>
  <c r="R174" i="534"/>
  <c r="Q174" i="534"/>
  <c r="P174" i="534"/>
  <c r="O174" i="534"/>
  <c r="N174" i="534"/>
  <c r="M174" i="534"/>
  <c r="L174" i="534"/>
  <c r="K174" i="534"/>
  <c r="J174" i="534"/>
  <c r="I174" i="534"/>
  <c r="H174" i="534"/>
  <c r="G174" i="534"/>
  <c r="D174" i="534"/>
  <c r="D173" i="534"/>
  <c r="G64" i="534"/>
  <c r="R172" i="534"/>
  <c r="Q172" i="534"/>
  <c r="P172" i="534"/>
  <c r="O172" i="534"/>
  <c r="N172" i="534"/>
  <c r="M172" i="534"/>
  <c r="L172" i="534"/>
  <c r="K172" i="534"/>
  <c r="J172" i="534"/>
  <c r="I172" i="534"/>
  <c r="H172" i="534"/>
  <c r="G172" i="534"/>
  <c r="R170" i="534"/>
  <c r="Q170" i="534"/>
  <c r="P170" i="534"/>
  <c r="O170" i="534"/>
  <c r="N170" i="534"/>
  <c r="M170" i="534"/>
  <c r="L170" i="534"/>
  <c r="K170" i="534"/>
  <c r="J170" i="534"/>
  <c r="I170" i="534"/>
  <c r="H170" i="534"/>
  <c r="G170" i="534"/>
  <c r="D170" i="534"/>
  <c r="R169" i="534"/>
  <c r="Q169" i="534"/>
  <c r="P169" i="534"/>
  <c r="O169" i="534"/>
  <c r="N169" i="534"/>
  <c r="M169" i="534"/>
  <c r="L169" i="534"/>
  <c r="K169" i="534"/>
  <c r="J169" i="534"/>
  <c r="I169" i="534"/>
  <c r="H169" i="534"/>
  <c r="G169" i="534"/>
  <c r="D169" i="534"/>
  <c r="R168" i="534"/>
  <c r="Q168" i="534"/>
  <c r="P168" i="534"/>
  <c r="O168" i="534"/>
  <c r="N168" i="534"/>
  <c r="M168" i="534"/>
  <c r="L168" i="534"/>
  <c r="K168" i="534"/>
  <c r="J168" i="534"/>
  <c r="I168" i="534"/>
  <c r="H168" i="534"/>
  <c r="G168" i="534"/>
  <c r="D168" i="534"/>
  <c r="D167" i="534"/>
  <c r="R166" i="534"/>
  <c r="Q166" i="534"/>
  <c r="P166" i="534"/>
  <c r="O166" i="534"/>
  <c r="N166" i="534"/>
  <c r="M166" i="534"/>
  <c r="L166" i="534"/>
  <c r="K166" i="534"/>
  <c r="J166" i="534"/>
  <c r="I166" i="534"/>
  <c r="H166" i="534"/>
  <c r="G166" i="534"/>
  <c r="D166" i="534"/>
  <c r="R165" i="534"/>
  <c r="Q165" i="534"/>
  <c r="P165" i="534"/>
  <c r="O165" i="534"/>
  <c r="N165" i="534"/>
  <c r="M165" i="534"/>
  <c r="L165" i="534"/>
  <c r="K165" i="534"/>
  <c r="J165" i="534"/>
  <c r="I165" i="534"/>
  <c r="H165" i="534"/>
  <c r="G165" i="534"/>
  <c r="D165" i="534"/>
  <c r="R164" i="534"/>
  <c r="Q164" i="534"/>
  <c r="P164" i="534"/>
  <c r="O164" i="534"/>
  <c r="N164" i="534"/>
  <c r="M164" i="534"/>
  <c r="L164" i="534"/>
  <c r="K164" i="534"/>
  <c r="J164" i="534"/>
  <c r="I164" i="534"/>
  <c r="H164" i="534"/>
  <c r="G164" i="534"/>
  <c r="D164" i="534"/>
  <c r="R163" i="534"/>
  <c r="Q163" i="534"/>
  <c r="P163" i="534"/>
  <c r="O163" i="534"/>
  <c r="N163" i="534"/>
  <c r="M163" i="534"/>
  <c r="L163" i="534"/>
  <c r="K163" i="534"/>
  <c r="J163" i="534"/>
  <c r="I163" i="534"/>
  <c r="H163" i="534"/>
  <c r="G163" i="534"/>
  <c r="D163" i="534"/>
  <c r="D162" i="534"/>
  <c r="R161" i="534"/>
  <c r="Q161" i="534"/>
  <c r="P161" i="534"/>
  <c r="O161" i="534"/>
  <c r="N161" i="534"/>
  <c r="M161" i="534"/>
  <c r="L161" i="534"/>
  <c r="K161" i="534"/>
  <c r="J161" i="534"/>
  <c r="I161" i="534"/>
  <c r="H161" i="534"/>
  <c r="G161" i="534"/>
  <c r="D161" i="534"/>
  <c r="R160" i="534"/>
  <c r="Q160" i="534"/>
  <c r="P160" i="534"/>
  <c r="O160" i="534"/>
  <c r="N160" i="534"/>
  <c r="M160" i="534"/>
  <c r="L160" i="534"/>
  <c r="K160" i="534"/>
  <c r="J160" i="534"/>
  <c r="I160" i="534"/>
  <c r="H160" i="534"/>
  <c r="G160" i="534"/>
  <c r="D160" i="534"/>
  <c r="R159" i="534"/>
  <c r="Q159" i="534"/>
  <c r="P159" i="534"/>
  <c r="O159" i="534"/>
  <c r="N159" i="534"/>
  <c r="M159" i="534"/>
  <c r="L159" i="534"/>
  <c r="K159" i="534"/>
  <c r="J159" i="534"/>
  <c r="I159" i="534"/>
  <c r="H159" i="534"/>
  <c r="G159" i="534"/>
  <c r="D159" i="534"/>
  <c r="R158" i="534"/>
  <c r="Q158" i="534"/>
  <c r="P158" i="534"/>
  <c r="O158" i="534"/>
  <c r="N158" i="534"/>
  <c r="M158" i="534"/>
  <c r="L158" i="534"/>
  <c r="K158" i="534"/>
  <c r="J158" i="534"/>
  <c r="I158" i="534"/>
  <c r="H158" i="534"/>
  <c r="G158" i="534"/>
  <c r="D158" i="534"/>
  <c r="R157" i="534"/>
  <c r="Q157" i="534"/>
  <c r="P157" i="534"/>
  <c r="O157" i="534"/>
  <c r="N157" i="534"/>
  <c r="M157" i="534"/>
  <c r="L157" i="534"/>
  <c r="K157" i="534"/>
  <c r="J157" i="534"/>
  <c r="I157" i="534"/>
  <c r="H157" i="534"/>
  <c r="G157" i="534"/>
  <c r="D157" i="534"/>
  <c r="R156" i="534"/>
  <c r="Q156" i="534"/>
  <c r="P156" i="534"/>
  <c r="O156" i="534"/>
  <c r="N156" i="534"/>
  <c r="M156" i="534"/>
  <c r="L156" i="534"/>
  <c r="K156" i="534"/>
  <c r="J156" i="534"/>
  <c r="I156" i="534"/>
  <c r="H156" i="534"/>
  <c r="G156" i="534"/>
  <c r="D156" i="534"/>
  <c r="R155" i="534"/>
  <c r="Q155" i="534"/>
  <c r="P155" i="534"/>
  <c r="O155" i="534"/>
  <c r="N155" i="534"/>
  <c r="M155" i="534"/>
  <c r="L155" i="534"/>
  <c r="K155" i="534"/>
  <c r="J155" i="534"/>
  <c r="I155" i="534"/>
  <c r="H155" i="534"/>
  <c r="G155" i="534"/>
  <c r="D155" i="534"/>
  <c r="R154" i="534"/>
  <c r="Q154" i="534"/>
  <c r="P154" i="534"/>
  <c r="O154" i="534"/>
  <c r="N154" i="534"/>
  <c r="M154" i="534"/>
  <c r="L154" i="534"/>
  <c r="K154" i="534"/>
  <c r="J154" i="534"/>
  <c r="I154" i="534"/>
  <c r="H154" i="534"/>
  <c r="G154" i="534"/>
  <c r="D154" i="534"/>
  <c r="R153" i="534"/>
  <c r="Q153" i="534"/>
  <c r="P153" i="534"/>
  <c r="O153" i="534"/>
  <c r="N153" i="534"/>
  <c r="M153" i="534"/>
  <c r="L153" i="534"/>
  <c r="K153" i="534"/>
  <c r="J153" i="534"/>
  <c r="I153" i="534"/>
  <c r="H153" i="534"/>
  <c r="G153" i="534"/>
  <c r="D153" i="534"/>
  <c r="R152" i="534"/>
  <c r="Q152" i="534"/>
  <c r="P152" i="534"/>
  <c r="O152" i="534"/>
  <c r="N152" i="534"/>
  <c r="M152" i="534"/>
  <c r="L152" i="534"/>
  <c r="K152" i="534"/>
  <c r="J152" i="534"/>
  <c r="I152" i="534"/>
  <c r="H152" i="534"/>
  <c r="G152" i="534"/>
  <c r="D152" i="534"/>
  <c r="R151" i="534"/>
  <c r="Q151" i="534"/>
  <c r="P151" i="534"/>
  <c r="O151" i="534"/>
  <c r="N151" i="534"/>
  <c r="M151" i="534"/>
  <c r="L151" i="534"/>
  <c r="K151" i="534"/>
  <c r="J151" i="534"/>
  <c r="I151" i="534"/>
  <c r="H151" i="534"/>
  <c r="G151" i="534"/>
  <c r="D151" i="534"/>
  <c r="G150" i="534"/>
  <c r="D150" i="534"/>
  <c r="G149" i="534"/>
  <c r="D149" i="534"/>
  <c r="G148" i="534"/>
  <c r="D148" i="534"/>
  <c r="N143" i="534"/>
  <c r="M143" i="534"/>
  <c r="L143" i="534"/>
  <c r="K143" i="534"/>
  <c r="J143" i="534"/>
  <c r="I143" i="534"/>
  <c r="H143" i="534"/>
  <c r="G143" i="534"/>
  <c r="G147" i="534"/>
  <c r="D147" i="534"/>
  <c r="G146" i="534"/>
  <c r="D146" i="534"/>
  <c r="R145" i="534"/>
  <c r="Q145" i="534"/>
  <c r="P145" i="534"/>
  <c r="O145" i="534"/>
  <c r="N145" i="534"/>
  <c r="M145" i="534"/>
  <c r="L145" i="534"/>
  <c r="K145" i="534"/>
  <c r="J145" i="534"/>
  <c r="I145" i="534"/>
  <c r="H145" i="534"/>
  <c r="G145" i="534"/>
  <c r="D145" i="534"/>
  <c r="R143" i="534"/>
  <c r="Q143" i="534"/>
  <c r="P143" i="534"/>
  <c r="O143" i="534"/>
  <c r="R142" i="534"/>
  <c r="Q142" i="534"/>
  <c r="P142" i="534"/>
  <c r="O142" i="534"/>
  <c r="N142" i="534"/>
  <c r="M142" i="534"/>
  <c r="L142" i="534"/>
  <c r="K142" i="534"/>
  <c r="J142" i="534"/>
  <c r="I142" i="534"/>
  <c r="H142" i="534"/>
  <c r="G142" i="534"/>
  <c r="R109" i="534"/>
  <c r="R141" i="534"/>
  <c r="Q109" i="534"/>
  <c r="Q141" i="534"/>
  <c r="P109" i="534"/>
  <c r="P141" i="534"/>
  <c r="O109" i="534"/>
  <c r="O141" i="534"/>
  <c r="N109" i="534"/>
  <c r="N141" i="534"/>
  <c r="M109" i="534"/>
  <c r="M141" i="534"/>
  <c r="L109" i="534"/>
  <c r="L141" i="534"/>
  <c r="K109" i="534"/>
  <c r="K141" i="534"/>
  <c r="J109" i="534"/>
  <c r="J141" i="534"/>
  <c r="I109" i="534"/>
  <c r="I141" i="534"/>
  <c r="H109" i="534"/>
  <c r="H141" i="534"/>
  <c r="G109" i="534"/>
  <c r="G141" i="534"/>
  <c r="R139" i="534"/>
  <c r="Q139" i="534"/>
  <c r="P139" i="534"/>
  <c r="O139" i="534"/>
  <c r="N139" i="534"/>
  <c r="M139" i="534"/>
  <c r="L139" i="534"/>
  <c r="K139" i="534"/>
  <c r="J139" i="534"/>
  <c r="I139" i="534"/>
  <c r="H139" i="534"/>
  <c r="G139" i="534"/>
  <c r="G121" i="534"/>
  <c r="G122" i="534"/>
  <c r="G123" i="534"/>
  <c r="I123" i="534"/>
  <c r="I124" i="534"/>
  <c r="H123" i="534"/>
  <c r="H124" i="534"/>
  <c r="G124" i="534"/>
  <c r="I122" i="534"/>
  <c r="B106" i="534"/>
  <c r="B107" i="534"/>
  <c r="B108" i="534"/>
  <c r="B109" i="534"/>
  <c r="B110" i="534"/>
  <c r="B111" i="534"/>
  <c r="B112" i="534"/>
  <c r="B113" i="534"/>
  <c r="S107" i="534"/>
  <c r="S106" i="534"/>
  <c r="G65" i="534"/>
  <c r="G66" i="534"/>
  <c r="G67" i="534"/>
  <c r="G73" i="534"/>
  <c r="G92" i="534"/>
  <c r="G93" i="534"/>
  <c r="G94" i="534"/>
  <c r="G95" i="534"/>
  <c r="G104" i="534"/>
  <c r="G105" i="534"/>
  <c r="H65" i="534"/>
  <c r="H66" i="534"/>
  <c r="H67" i="534"/>
  <c r="H73" i="534"/>
  <c r="H92" i="534"/>
  <c r="H93" i="534"/>
  <c r="H27" i="534"/>
  <c r="H94" i="534"/>
  <c r="H95" i="534"/>
  <c r="H104" i="534"/>
  <c r="H105" i="534"/>
  <c r="I65" i="534"/>
  <c r="I66" i="534"/>
  <c r="I67" i="534"/>
  <c r="I73" i="534"/>
  <c r="I92" i="534"/>
  <c r="I93" i="534"/>
  <c r="I27" i="534"/>
  <c r="I94" i="534"/>
  <c r="I95" i="534"/>
  <c r="I104" i="534"/>
  <c r="I105" i="534"/>
  <c r="J65" i="534"/>
  <c r="J66" i="534"/>
  <c r="J67" i="534"/>
  <c r="J73" i="534"/>
  <c r="J92" i="534"/>
  <c r="J93" i="534"/>
  <c r="J27" i="534"/>
  <c r="J94" i="534"/>
  <c r="J95" i="534"/>
  <c r="J104" i="534"/>
  <c r="J105" i="534"/>
  <c r="K65" i="534"/>
  <c r="K66" i="534"/>
  <c r="K67" i="534"/>
  <c r="K73" i="534"/>
  <c r="K92" i="534"/>
  <c r="K93" i="534"/>
  <c r="K27" i="534"/>
  <c r="K94" i="534"/>
  <c r="K95" i="534"/>
  <c r="K104" i="534"/>
  <c r="K105" i="534"/>
  <c r="L65" i="534"/>
  <c r="L66" i="534"/>
  <c r="L67" i="534"/>
  <c r="L73" i="534"/>
  <c r="L92" i="534"/>
  <c r="L93" i="534"/>
  <c r="L27" i="534"/>
  <c r="L94" i="534"/>
  <c r="L95" i="534"/>
  <c r="L104" i="534"/>
  <c r="L105" i="534"/>
  <c r="M65" i="534"/>
  <c r="M66" i="534"/>
  <c r="M67" i="534"/>
  <c r="M73" i="534"/>
  <c r="M92" i="534"/>
  <c r="M93" i="534"/>
  <c r="M27" i="534"/>
  <c r="M94" i="534"/>
  <c r="M95" i="534"/>
  <c r="M104" i="534"/>
  <c r="M105" i="534"/>
  <c r="N65" i="534"/>
  <c r="N66" i="534"/>
  <c r="N67" i="534"/>
  <c r="N73" i="534"/>
  <c r="N92" i="534"/>
  <c r="N93" i="534"/>
  <c r="N27" i="534"/>
  <c r="N94" i="534"/>
  <c r="N95" i="534"/>
  <c r="N104" i="534"/>
  <c r="N105" i="534"/>
  <c r="O65" i="534"/>
  <c r="O66" i="534"/>
  <c r="O67" i="534"/>
  <c r="O73" i="534"/>
  <c r="O92" i="534"/>
  <c r="O93" i="534"/>
  <c r="O27" i="534"/>
  <c r="O94" i="534"/>
  <c r="O95" i="534"/>
  <c r="O104" i="534"/>
  <c r="O105" i="534"/>
  <c r="P65" i="534"/>
  <c r="P66" i="534"/>
  <c r="P67" i="534"/>
  <c r="P73" i="534"/>
  <c r="P92" i="534"/>
  <c r="P93" i="534"/>
  <c r="P27" i="534"/>
  <c r="P94" i="534"/>
  <c r="P95" i="534"/>
  <c r="P104" i="534"/>
  <c r="P105" i="534"/>
  <c r="Q65" i="534"/>
  <c r="Q66" i="534"/>
  <c r="Q67" i="534"/>
  <c r="Q73" i="534"/>
  <c r="Q92" i="534"/>
  <c r="Q93" i="534"/>
  <c r="Q27" i="534"/>
  <c r="Q94" i="534"/>
  <c r="Q95" i="534"/>
  <c r="Q104" i="534"/>
  <c r="Q105" i="534"/>
  <c r="R65" i="534"/>
  <c r="R66" i="534"/>
  <c r="R67" i="534"/>
  <c r="R73" i="534"/>
  <c r="R92" i="534"/>
  <c r="R93" i="534"/>
  <c r="R27" i="534"/>
  <c r="R94" i="534"/>
  <c r="R95" i="534"/>
  <c r="R104" i="534"/>
  <c r="R105" i="534"/>
  <c r="S105" i="534"/>
  <c r="S104" i="534"/>
  <c r="G103" i="534"/>
  <c r="H103" i="534"/>
  <c r="I103" i="534"/>
  <c r="J103" i="534"/>
  <c r="K103" i="534"/>
  <c r="L103" i="534"/>
  <c r="M103" i="534"/>
  <c r="N103" i="534"/>
  <c r="O103" i="534"/>
  <c r="P103" i="534"/>
  <c r="Q103" i="534"/>
  <c r="R103" i="534"/>
  <c r="S103" i="534"/>
  <c r="S102" i="534"/>
  <c r="G98" i="534"/>
  <c r="G99" i="534"/>
  <c r="G101" i="534"/>
  <c r="H98" i="534"/>
  <c r="H99" i="534"/>
  <c r="H101" i="534"/>
  <c r="I98" i="534"/>
  <c r="I99" i="534"/>
  <c r="I101" i="534"/>
  <c r="J98" i="534"/>
  <c r="J99" i="534"/>
  <c r="J101" i="534"/>
  <c r="K98" i="534"/>
  <c r="K99" i="534"/>
  <c r="K101" i="534"/>
  <c r="L98" i="534"/>
  <c r="L99" i="534"/>
  <c r="L101" i="534"/>
  <c r="M98" i="534"/>
  <c r="M99" i="534"/>
  <c r="M101" i="534"/>
  <c r="N98" i="534"/>
  <c r="N99" i="534"/>
  <c r="N101" i="534"/>
  <c r="O98" i="534"/>
  <c r="O99" i="534"/>
  <c r="O101" i="534"/>
  <c r="P98" i="534"/>
  <c r="P99" i="534"/>
  <c r="P101" i="534"/>
  <c r="Q98" i="534"/>
  <c r="Q99" i="534"/>
  <c r="Q101" i="534"/>
  <c r="R98" i="534"/>
  <c r="R99" i="534"/>
  <c r="R101" i="534"/>
  <c r="S101" i="534"/>
  <c r="G100" i="534"/>
  <c r="H100" i="534"/>
  <c r="I100" i="534"/>
  <c r="J100" i="534"/>
  <c r="K100" i="534"/>
  <c r="L100" i="534"/>
  <c r="M100" i="534"/>
  <c r="N100" i="534"/>
  <c r="O100" i="534"/>
  <c r="P100" i="534"/>
  <c r="Q100" i="534"/>
  <c r="R100" i="534"/>
  <c r="S100" i="534"/>
  <c r="S99" i="534"/>
  <c r="S98" i="534"/>
  <c r="S97" i="534"/>
  <c r="S95" i="534"/>
  <c r="S93" i="534"/>
  <c r="S92" i="534"/>
  <c r="S91" i="534"/>
  <c r="S90" i="534"/>
  <c r="S89" i="534"/>
  <c r="S88" i="534"/>
  <c r="S87" i="534"/>
  <c r="S86" i="534"/>
  <c r="S85" i="534"/>
  <c r="S84" i="534"/>
  <c r="S83" i="534"/>
  <c r="S82" i="534"/>
  <c r="D82" i="534"/>
  <c r="S81" i="534"/>
  <c r="D81" i="534"/>
  <c r="S80" i="534"/>
  <c r="D80" i="534"/>
  <c r="S79" i="534"/>
  <c r="D79" i="534"/>
  <c r="S78" i="534"/>
  <c r="D78" i="534"/>
  <c r="S77" i="534"/>
  <c r="D77" i="534"/>
  <c r="S76" i="534"/>
  <c r="S75" i="534"/>
  <c r="S74" i="534"/>
  <c r="S73" i="534"/>
  <c r="S72" i="534"/>
  <c r="S70" i="534"/>
  <c r="S69" i="534"/>
  <c r="S68" i="534"/>
  <c r="S67" i="534"/>
  <c r="S66" i="534"/>
  <c r="S65" i="534"/>
  <c r="S64" i="534"/>
  <c r="S63" i="534"/>
  <c r="S62" i="534"/>
  <c r="S61" i="534"/>
  <c r="S60" i="534"/>
  <c r="S59" i="534"/>
  <c r="S58" i="534"/>
  <c r="S57" i="534"/>
  <c r="S56" i="534"/>
  <c r="S55" i="534"/>
  <c r="S54" i="534"/>
  <c r="E54" i="534"/>
  <c r="C54" i="534"/>
  <c r="S53" i="534"/>
  <c r="E53" i="534"/>
  <c r="C53" i="534"/>
  <c r="S52" i="534"/>
  <c r="E52" i="534"/>
  <c r="C52" i="534"/>
  <c r="S51" i="534"/>
  <c r="E51" i="534"/>
  <c r="C51" i="534"/>
  <c r="S50" i="534"/>
  <c r="E50" i="534"/>
  <c r="C50" i="534"/>
  <c r="S49" i="534"/>
  <c r="E49" i="534"/>
  <c r="C49" i="534"/>
  <c r="S48" i="534"/>
  <c r="S47" i="534"/>
  <c r="S46" i="534"/>
  <c r="S45" i="534"/>
  <c r="R2" i="534"/>
  <c r="R44" i="534"/>
  <c r="Q2" i="534"/>
  <c r="Q44" i="534"/>
  <c r="P2" i="534"/>
  <c r="P44" i="534"/>
  <c r="O2" i="534"/>
  <c r="O44" i="534"/>
  <c r="N2" i="534"/>
  <c r="N44" i="534"/>
  <c r="M2" i="534"/>
  <c r="M44" i="534"/>
  <c r="L2" i="534"/>
  <c r="L44" i="534"/>
  <c r="K2" i="534"/>
  <c r="K44" i="534"/>
  <c r="J2" i="534"/>
  <c r="J44" i="534"/>
  <c r="I2" i="534"/>
  <c r="I44" i="534"/>
  <c r="H2" i="534"/>
  <c r="H44" i="534"/>
  <c r="G2" i="534"/>
  <c r="G44" i="534"/>
  <c r="A44" i="534"/>
  <c r="R7" i="534"/>
  <c r="Q7" i="534"/>
  <c r="P7" i="534"/>
  <c r="O7" i="534"/>
  <c r="N7" i="534"/>
  <c r="M7" i="534"/>
  <c r="L7" i="534"/>
  <c r="K7" i="534"/>
  <c r="J7" i="534"/>
  <c r="I7" i="534"/>
  <c r="H7" i="534"/>
  <c r="H1" i="534"/>
  <c r="I1" i="534"/>
  <c r="J1" i="534"/>
  <c r="K1" i="534"/>
  <c r="L1" i="534"/>
  <c r="M1" i="534"/>
  <c r="N1" i="534"/>
  <c r="O1" i="534"/>
  <c r="P1" i="534"/>
  <c r="Q1" i="534"/>
  <c r="R1" i="534"/>
  <c r="B74" i="533"/>
  <c r="B75" i="533"/>
  <c r="B76" i="533"/>
  <c r="B77" i="533"/>
  <c r="B78" i="533"/>
  <c r="B79" i="533"/>
  <c r="B80" i="533"/>
  <c r="B81" i="533"/>
  <c r="B82" i="533"/>
  <c r="B83" i="533"/>
  <c r="B84" i="533"/>
  <c r="B85" i="533"/>
  <c r="B86" i="533"/>
  <c r="B87" i="533"/>
  <c r="B88" i="533"/>
  <c r="B89" i="533"/>
  <c r="B90" i="533"/>
  <c r="B91" i="533"/>
  <c r="B92" i="533"/>
  <c r="B93" i="533"/>
  <c r="B94" i="533"/>
  <c r="B95" i="533"/>
  <c r="B96" i="533"/>
  <c r="B97" i="533"/>
  <c r="B98" i="533"/>
  <c r="B99" i="533"/>
  <c r="B100" i="533"/>
  <c r="B101" i="533"/>
  <c r="B102" i="533"/>
  <c r="B103" i="533"/>
  <c r="B104" i="533"/>
  <c r="B105" i="533"/>
  <c r="D205" i="533"/>
  <c r="B173" i="533"/>
  <c r="B174" i="533"/>
  <c r="B175" i="533"/>
  <c r="B176" i="533"/>
  <c r="B177" i="533"/>
  <c r="B178" i="533"/>
  <c r="B179" i="533"/>
  <c r="B180" i="533"/>
  <c r="B181" i="533"/>
  <c r="B182" i="533"/>
  <c r="B183" i="533"/>
  <c r="B184" i="533"/>
  <c r="B185" i="533"/>
  <c r="B186" i="533"/>
  <c r="B187" i="533"/>
  <c r="B188" i="533"/>
  <c r="B189" i="533"/>
  <c r="B190" i="533"/>
  <c r="B191" i="533"/>
  <c r="B192" i="533"/>
  <c r="B193" i="533"/>
  <c r="B194" i="533"/>
  <c r="B195" i="533"/>
  <c r="B196" i="533"/>
  <c r="B197" i="533"/>
  <c r="B198" i="533"/>
  <c r="B199" i="533"/>
  <c r="B200" i="533"/>
  <c r="B201" i="533"/>
  <c r="B202" i="533"/>
  <c r="B203" i="533"/>
  <c r="B204" i="533"/>
  <c r="B205" i="533"/>
  <c r="D204" i="533"/>
  <c r="R203" i="533"/>
  <c r="Q203" i="533"/>
  <c r="P203" i="533"/>
  <c r="O203" i="533"/>
  <c r="N203" i="533"/>
  <c r="M203" i="533"/>
  <c r="L203" i="533"/>
  <c r="K203" i="533"/>
  <c r="J203" i="533"/>
  <c r="I203" i="533"/>
  <c r="H203" i="533"/>
  <c r="G203" i="533"/>
  <c r="D203" i="533"/>
  <c r="R202" i="533"/>
  <c r="Q202" i="533"/>
  <c r="P202" i="533"/>
  <c r="O202" i="533"/>
  <c r="N202" i="533"/>
  <c r="M202" i="533"/>
  <c r="L202" i="533"/>
  <c r="K202" i="533"/>
  <c r="J202" i="533"/>
  <c r="I202" i="533"/>
  <c r="H202" i="533"/>
  <c r="G202" i="533"/>
  <c r="D202" i="533"/>
  <c r="D201" i="533"/>
  <c r="D200" i="533"/>
  <c r="D199" i="533"/>
  <c r="D198" i="533"/>
  <c r="D197" i="533"/>
  <c r="D196" i="533"/>
  <c r="H26" i="533"/>
  <c r="I26" i="533"/>
  <c r="J26" i="533"/>
  <c r="K26" i="533"/>
  <c r="L26" i="533"/>
  <c r="M26" i="533"/>
  <c r="N26" i="533"/>
  <c r="O26" i="533"/>
  <c r="P26" i="533"/>
  <c r="Q26" i="533"/>
  <c r="R26" i="533"/>
  <c r="D195" i="533"/>
  <c r="D194" i="533"/>
  <c r="D193" i="533"/>
  <c r="R64" i="533"/>
  <c r="R102" i="533"/>
  <c r="R90" i="533"/>
  <c r="R91" i="533"/>
  <c r="Q64" i="533"/>
  <c r="Q102" i="533"/>
  <c r="Q90" i="533"/>
  <c r="Q91" i="533"/>
  <c r="P64" i="533"/>
  <c r="P102" i="533"/>
  <c r="P90" i="533"/>
  <c r="P91" i="533"/>
  <c r="O64" i="533"/>
  <c r="O102" i="533"/>
  <c r="O90" i="533"/>
  <c r="O91" i="533"/>
  <c r="N64" i="533"/>
  <c r="N102" i="533"/>
  <c r="N90" i="533"/>
  <c r="N91" i="533"/>
  <c r="M64" i="533"/>
  <c r="M102" i="533"/>
  <c r="M90" i="533"/>
  <c r="M91" i="533"/>
  <c r="L64" i="533"/>
  <c r="L102" i="533"/>
  <c r="L90" i="533"/>
  <c r="L91" i="533"/>
  <c r="K64" i="533"/>
  <c r="K102" i="533"/>
  <c r="K90" i="533"/>
  <c r="K91" i="533"/>
  <c r="J64" i="533"/>
  <c r="J102" i="533"/>
  <c r="J90" i="533"/>
  <c r="J91" i="533"/>
  <c r="I64" i="533"/>
  <c r="I102" i="533"/>
  <c r="I90" i="533"/>
  <c r="I91" i="533"/>
  <c r="H64" i="533"/>
  <c r="H102" i="533"/>
  <c r="H90" i="533"/>
  <c r="H91" i="533"/>
  <c r="G102" i="533"/>
  <c r="G90" i="533"/>
  <c r="G91" i="533"/>
  <c r="D192" i="533"/>
  <c r="D191" i="533"/>
  <c r="D190" i="533"/>
  <c r="D189" i="533"/>
  <c r="R188" i="533"/>
  <c r="Q188" i="533"/>
  <c r="P188" i="533"/>
  <c r="O188" i="533"/>
  <c r="N188" i="533"/>
  <c r="M188" i="533"/>
  <c r="L188" i="533"/>
  <c r="K188" i="533"/>
  <c r="J188" i="533"/>
  <c r="I188" i="533"/>
  <c r="H188" i="533"/>
  <c r="G188" i="533"/>
  <c r="D188" i="533"/>
  <c r="R187" i="533"/>
  <c r="Q187" i="533"/>
  <c r="P187" i="533"/>
  <c r="O187" i="533"/>
  <c r="N187" i="533"/>
  <c r="M187" i="533"/>
  <c r="L187" i="533"/>
  <c r="K187" i="533"/>
  <c r="J187" i="533"/>
  <c r="I187" i="533"/>
  <c r="H187" i="533"/>
  <c r="G187" i="533"/>
  <c r="D187" i="533"/>
  <c r="D186" i="533"/>
  <c r="R185" i="533"/>
  <c r="Q185" i="533"/>
  <c r="P185" i="533"/>
  <c r="O185" i="533"/>
  <c r="N185" i="533"/>
  <c r="M185" i="533"/>
  <c r="L185" i="533"/>
  <c r="K185" i="533"/>
  <c r="J185" i="533"/>
  <c r="I185" i="533"/>
  <c r="H185" i="533"/>
  <c r="G185" i="533"/>
  <c r="D185" i="533"/>
  <c r="R184" i="533"/>
  <c r="Q184" i="533"/>
  <c r="P184" i="533"/>
  <c r="O184" i="533"/>
  <c r="N184" i="533"/>
  <c r="M184" i="533"/>
  <c r="L184" i="533"/>
  <c r="K184" i="533"/>
  <c r="J184" i="533"/>
  <c r="I184" i="533"/>
  <c r="H184" i="533"/>
  <c r="G184" i="533"/>
  <c r="D184" i="533"/>
  <c r="R183" i="533"/>
  <c r="Q183" i="533"/>
  <c r="P183" i="533"/>
  <c r="O183" i="533"/>
  <c r="N183" i="533"/>
  <c r="M183" i="533"/>
  <c r="L183" i="533"/>
  <c r="K183" i="533"/>
  <c r="J183" i="533"/>
  <c r="I183" i="533"/>
  <c r="H183" i="533"/>
  <c r="G183" i="533"/>
  <c r="D183" i="533"/>
  <c r="R182" i="533"/>
  <c r="Q182" i="533"/>
  <c r="P182" i="533"/>
  <c r="O182" i="533"/>
  <c r="N182" i="533"/>
  <c r="M182" i="533"/>
  <c r="L182" i="533"/>
  <c r="K182" i="533"/>
  <c r="J182" i="533"/>
  <c r="I182" i="533"/>
  <c r="H182" i="533"/>
  <c r="G182" i="533"/>
  <c r="D182" i="533"/>
  <c r="R181" i="533"/>
  <c r="Q181" i="533"/>
  <c r="P181" i="533"/>
  <c r="O181" i="533"/>
  <c r="N181" i="533"/>
  <c r="M181" i="533"/>
  <c r="L181" i="533"/>
  <c r="K181" i="533"/>
  <c r="J181" i="533"/>
  <c r="I181" i="533"/>
  <c r="H181" i="533"/>
  <c r="G181" i="533"/>
  <c r="D181" i="533"/>
  <c r="R180" i="533"/>
  <c r="Q180" i="533"/>
  <c r="P180" i="533"/>
  <c r="O180" i="533"/>
  <c r="N180" i="533"/>
  <c r="M180" i="533"/>
  <c r="L180" i="533"/>
  <c r="K180" i="533"/>
  <c r="J180" i="533"/>
  <c r="I180" i="533"/>
  <c r="H180" i="533"/>
  <c r="G180" i="533"/>
  <c r="D180" i="533"/>
  <c r="R179" i="533"/>
  <c r="Q179" i="533"/>
  <c r="P179" i="533"/>
  <c r="O179" i="533"/>
  <c r="N179" i="533"/>
  <c r="M179" i="533"/>
  <c r="L179" i="533"/>
  <c r="K179" i="533"/>
  <c r="J179" i="533"/>
  <c r="I179" i="533"/>
  <c r="H179" i="533"/>
  <c r="G179" i="533"/>
  <c r="D179" i="533"/>
  <c r="R178" i="533"/>
  <c r="Q178" i="533"/>
  <c r="P178" i="533"/>
  <c r="O178" i="533"/>
  <c r="N178" i="533"/>
  <c r="M178" i="533"/>
  <c r="L178" i="533"/>
  <c r="K178" i="533"/>
  <c r="J178" i="533"/>
  <c r="I178" i="533"/>
  <c r="H178" i="533"/>
  <c r="G178" i="533"/>
  <c r="D178" i="533"/>
  <c r="R177" i="533"/>
  <c r="Q177" i="533"/>
  <c r="P177" i="533"/>
  <c r="O177" i="533"/>
  <c r="N177" i="533"/>
  <c r="M177" i="533"/>
  <c r="L177" i="533"/>
  <c r="K177" i="533"/>
  <c r="J177" i="533"/>
  <c r="I177" i="533"/>
  <c r="H177" i="533"/>
  <c r="G177" i="533"/>
  <c r="D177" i="533"/>
  <c r="R176" i="533"/>
  <c r="Q176" i="533"/>
  <c r="P176" i="533"/>
  <c r="O176" i="533"/>
  <c r="N176" i="533"/>
  <c r="M176" i="533"/>
  <c r="L176" i="533"/>
  <c r="K176" i="533"/>
  <c r="J176" i="533"/>
  <c r="I176" i="533"/>
  <c r="H176" i="533"/>
  <c r="G176" i="533"/>
  <c r="D176" i="533"/>
  <c r="R175" i="533"/>
  <c r="Q175" i="533"/>
  <c r="P175" i="533"/>
  <c r="O175" i="533"/>
  <c r="N175" i="533"/>
  <c r="M175" i="533"/>
  <c r="L175" i="533"/>
  <c r="K175" i="533"/>
  <c r="J175" i="533"/>
  <c r="I175" i="533"/>
  <c r="H175" i="533"/>
  <c r="G175" i="533"/>
  <c r="D175" i="533"/>
  <c r="R174" i="533"/>
  <c r="Q174" i="533"/>
  <c r="P174" i="533"/>
  <c r="O174" i="533"/>
  <c r="N174" i="533"/>
  <c r="M174" i="533"/>
  <c r="L174" i="533"/>
  <c r="K174" i="533"/>
  <c r="J174" i="533"/>
  <c r="I174" i="533"/>
  <c r="H174" i="533"/>
  <c r="G174" i="533"/>
  <c r="D174" i="533"/>
  <c r="D173" i="533"/>
  <c r="G64" i="533"/>
  <c r="R172" i="533"/>
  <c r="Q172" i="533"/>
  <c r="P172" i="533"/>
  <c r="O172" i="533"/>
  <c r="N172" i="533"/>
  <c r="M172" i="533"/>
  <c r="L172" i="533"/>
  <c r="K172" i="533"/>
  <c r="J172" i="533"/>
  <c r="I172" i="533"/>
  <c r="H172" i="533"/>
  <c r="G172" i="533"/>
  <c r="R170" i="533"/>
  <c r="Q170" i="533"/>
  <c r="P170" i="533"/>
  <c r="O170" i="533"/>
  <c r="N170" i="533"/>
  <c r="M170" i="533"/>
  <c r="L170" i="533"/>
  <c r="K170" i="533"/>
  <c r="J170" i="533"/>
  <c r="I170" i="533"/>
  <c r="H170" i="533"/>
  <c r="G170" i="533"/>
  <c r="D170" i="533"/>
  <c r="R169" i="533"/>
  <c r="Q169" i="533"/>
  <c r="P169" i="533"/>
  <c r="O169" i="533"/>
  <c r="N169" i="533"/>
  <c r="M169" i="533"/>
  <c r="L169" i="533"/>
  <c r="K169" i="533"/>
  <c r="J169" i="533"/>
  <c r="I169" i="533"/>
  <c r="H169" i="533"/>
  <c r="G169" i="533"/>
  <c r="D169" i="533"/>
  <c r="R168" i="533"/>
  <c r="Q168" i="533"/>
  <c r="P168" i="533"/>
  <c r="O168" i="533"/>
  <c r="N168" i="533"/>
  <c r="M168" i="533"/>
  <c r="L168" i="533"/>
  <c r="K168" i="533"/>
  <c r="J168" i="533"/>
  <c r="I168" i="533"/>
  <c r="H168" i="533"/>
  <c r="G168" i="533"/>
  <c r="D168" i="533"/>
  <c r="D167" i="533"/>
  <c r="R166" i="533"/>
  <c r="Q166" i="533"/>
  <c r="P166" i="533"/>
  <c r="O166" i="533"/>
  <c r="N166" i="533"/>
  <c r="M166" i="533"/>
  <c r="L166" i="533"/>
  <c r="K166" i="533"/>
  <c r="J166" i="533"/>
  <c r="I166" i="533"/>
  <c r="H166" i="533"/>
  <c r="G166" i="533"/>
  <c r="D166" i="533"/>
  <c r="R165" i="533"/>
  <c r="Q165" i="533"/>
  <c r="P165" i="533"/>
  <c r="O165" i="533"/>
  <c r="N165" i="533"/>
  <c r="M165" i="533"/>
  <c r="L165" i="533"/>
  <c r="K165" i="533"/>
  <c r="J165" i="533"/>
  <c r="I165" i="533"/>
  <c r="H165" i="533"/>
  <c r="G165" i="533"/>
  <c r="D165" i="533"/>
  <c r="R164" i="533"/>
  <c r="Q164" i="533"/>
  <c r="P164" i="533"/>
  <c r="O164" i="533"/>
  <c r="N164" i="533"/>
  <c r="M164" i="533"/>
  <c r="L164" i="533"/>
  <c r="K164" i="533"/>
  <c r="J164" i="533"/>
  <c r="I164" i="533"/>
  <c r="H164" i="533"/>
  <c r="G164" i="533"/>
  <c r="D164" i="533"/>
  <c r="R163" i="533"/>
  <c r="Q163" i="533"/>
  <c r="P163" i="533"/>
  <c r="O163" i="533"/>
  <c r="N163" i="533"/>
  <c r="M163" i="533"/>
  <c r="L163" i="533"/>
  <c r="K163" i="533"/>
  <c r="J163" i="533"/>
  <c r="I163" i="533"/>
  <c r="H163" i="533"/>
  <c r="G163" i="533"/>
  <c r="D163" i="533"/>
  <c r="D162" i="533"/>
  <c r="R161" i="533"/>
  <c r="Q161" i="533"/>
  <c r="P161" i="533"/>
  <c r="O161" i="533"/>
  <c r="N161" i="533"/>
  <c r="M161" i="533"/>
  <c r="L161" i="533"/>
  <c r="K161" i="533"/>
  <c r="J161" i="533"/>
  <c r="I161" i="533"/>
  <c r="H161" i="533"/>
  <c r="G161" i="533"/>
  <c r="D161" i="533"/>
  <c r="R160" i="533"/>
  <c r="Q160" i="533"/>
  <c r="P160" i="533"/>
  <c r="O160" i="533"/>
  <c r="N160" i="533"/>
  <c r="M160" i="533"/>
  <c r="L160" i="533"/>
  <c r="K160" i="533"/>
  <c r="J160" i="533"/>
  <c r="I160" i="533"/>
  <c r="H160" i="533"/>
  <c r="G160" i="533"/>
  <c r="D160" i="533"/>
  <c r="R159" i="533"/>
  <c r="Q159" i="533"/>
  <c r="P159" i="533"/>
  <c r="O159" i="533"/>
  <c r="N159" i="533"/>
  <c r="M159" i="533"/>
  <c r="L159" i="533"/>
  <c r="K159" i="533"/>
  <c r="J159" i="533"/>
  <c r="I159" i="533"/>
  <c r="H159" i="533"/>
  <c r="G159" i="533"/>
  <c r="D159" i="533"/>
  <c r="R158" i="533"/>
  <c r="Q158" i="533"/>
  <c r="P158" i="533"/>
  <c r="O158" i="533"/>
  <c r="N158" i="533"/>
  <c r="M158" i="533"/>
  <c r="L158" i="533"/>
  <c r="K158" i="533"/>
  <c r="J158" i="533"/>
  <c r="I158" i="533"/>
  <c r="H158" i="533"/>
  <c r="G158" i="533"/>
  <c r="D158" i="533"/>
  <c r="R157" i="533"/>
  <c r="Q157" i="533"/>
  <c r="P157" i="533"/>
  <c r="O157" i="533"/>
  <c r="N157" i="533"/>
  <c r="M157" i="533"/>
  <c r="L157" i="533"/>
  <c r="K157" i="533"/>
  <c r="J157" i="533"/>
  <c r="I157" i="533"/>
  <c r="H157" i="533"/>
  <c r="G157" i="533"/>
  <c r="D157" i="533"/>
  <c r="R156" i="533"/>
  <c r="Q156" i="533"/>
  <c r="P156" i="533"/>
  <c r="O156" i="533"/>
  <c r="N156" i="533"/>
  <c r="M156" i="533"/>
  <c r="L156" i="533"/>
  <c r="K156" i="533"/>
  <c r="J156" i="533"/>
  <c r="I156" i="533"/>
  <c r="H156" i="533"/>
  <c r="G156" i="533"/>
  <c r="D156" i="533"/>
  <c r="R155" i="533"/>
  <c r="Q155" i="533"/>
  <c r="P155" i="533"/>
  <c r="O155" i="533"/>
  <c r="N155" i="533"/>
  <c r="M155" i="533"/>
  <c r="L155" i="533"/>
  <c r="K155" i="533"/>
  <c r="J155" i="533"/>
  <c r="I155" i="533"/>
  <c r="H155" i="533"/>
  <c r="G155" i="533"/>
  <c r="D155" i="533"/>
  <c r="R154" i="533"/>
  <c r="Q154" i="533"/>
  <c r="P154" i="533"/>
  <c r="O154" i="533"/>
  <c r="N154" i="533"/>
  <c r="M154" i="533"/>
  <c r="L154" i="533"/>
  <c r="K154" i="533"/>
  <c r="J154" i="533"/>
  <c r="I154" i="533"/>
  <c r="H154" i="533"/>
  <c r="G154" i="533"/>
  <c r="D154" i="533"/>
  <c r="R153" i="533"/>
  <c r="Q153" i="533"/>
  <c r="P153" i="533"/>
  <c r="O153" i="533"/>
  <c r="N153" i="533"/>
  <c r="M153" i="533"/>
  <c r="L153" i="533"/>
  <c r="K153" i="533"/>
  <c r="J153" i="533"/>
  <c r="I153" i="533"/>
  <c r="H153" i="533"/>
  <c r="G153" i="533"/>
  <c r="D153" i="533"/>
  <c r="R152" i="533"/>
  <c r="Q152" i="533"/>
  <c r="P152" i="533"/>
  <c r="O152" i="533"/>
  <c r="N152" i="533"/>
  <c r="M152" i="533"/>
  <c r="L152" i="533"/>
  <c r="K152" i="533"/>
  <c r="J152" i="533"/>
  <c r="I152" i="533"/>
  <c r="H152" i="533"/>
  <c r="G152" i="533"/>
  <c r="D152" i="533"/>
  <c r="R151" i="533"/>
  <c r="Q151" i="533"/>
  <c r="P151" i="533"/>
  <c r="O151" i="533"/>
  <c r="N151" i="533"/>
  <c r="M151" i="533"/>
  <c r="L151" i="533"/>
  <c r="K151" i="533"/>
  <c r="J151" i="533"/>
  <c r="I151" i="533"/>
  <c r="H151" i="533"/>
  <c r="G151" i="533"/>
  <c r="D151" i="533"/>
  <c r="G150" i="533"/>
  <c r="D150" i="533"/>
  <c r="G149" i="533"/>
  <c r="D149" i="533"/>
  <c r="G148" i="533"/>
  <c r="D148" i="533"/>
  <c r="N143" i="533"/>
  <c r="M143" i="533"/>
  <c r="L143" i="533"/>
  <c r="K143" i="533"/>
  <c r="J143" i="533"/>
  <c r="I143" i="533"/>
  <c r="H143" i="533"/>
  <c r="G143" i="533"/>
  <c r="G147" i="533"/>
  <c r="D147" i="533"/>
  <c r="G146" i="533"/>
  <c r="D146" i="533"/>
  <c r="R145" i="533"/>
  <c r="Q145" i="533"/>
  <c r="P145" i="533"/>
  <c r="O145" i="533"/>
  <c r="N145" i="533"/>
  <c r="M145" i="533"/>
  <c r="L145" i="533"/>
  <c r="K145" i="533"/>
  <c r="J145" i="533"/>
  <c r="I145" i="533"/>
  <c r="H145" i="533"/>
  <c r="G145" i="533"/>
  <c r="D145" i="533"/>
  <c r="R143" i="533"/>
  <c r="Q143" i="533"/>
  <c r="P143" i="533"/>
  <c r="O143" i="533"/>
  <c r="R142" i="533"/>
  <c r="Q142" i="533"/>
  <c r="P142" i="533"/>
  <c r="O142" i="533"/>
  <c r="N142" i="533"/>
  <c r="M142" i="533"/>
  <c r="L142" i="533"/>
  <c r="K142" i="533"/>
  <c r="J142" i="533"/>
  <c r="I142" i="533"/>
  <c r="H142" i="533"/>
  <c r="G142" i="533"/>
  <c r="R109" i="533"/>
  <c r="R141" i="533"/>
  <c r="Q109" i="533"/>
  <c r="Q141" i="533"/>
  <c r="P109" i="533"/>
  <c r="P141" i="533"/>
  <c r="O109" i="533"/>
  <c r="O141" i="533"/>
  <c r="N109" i="533"/>
  <c r="N141" i="533"/>
  <c r="M109" i="533"/>
  <c r="M141" i="533"/>
  <c r="L109" i="533"/>
  <c r="L141" i="533"/>
  <c r="K109" i="533"/>
  <c r="K141" i="533"/>
  <c r="J109" i="533"/>
  <c r="J141" i="533"/>
  <c r="I109" i="533"/>
  <c r="I141" i="533"/>
  <c r="H109" i="533"/>
  <c r="H141" i="533"/>
  <c r="G109" i="533"/>
  <c r="G141" i="533"/>
  <c r="R139" i="533"/>
  <c r="Q139" i="533"/>
  <c r="P139" i="533"/>
  <c r="O139" i="533"/>
  <c r="N139" i="533"/>
  <c r="M139" i="533"/>
  <c r="L139" i="533"/>
  <c r="K139" i="533"/>
  <c r="J139" i="533"/>
  <c r="I139" i="533"/>
  <c r="H139" i="533"/>
  <c r="G139" i="533"/>
  <c r="G121" i="533"/>
  <c r="G122" i="533"/>
  <c r="G123" i="533"/>
  <c r="I123" i="533"/>
  <c r="I124" i="533"/>
  <c r="H123" i="533"/>
  <c r="H124" i="533"/>
  <c r="G124" i="533"/>
  <c r="I122" i="533"/>
  <c r="B106" i="533"/>
  <c r="B107" i="533"/>
  <c r="B108" i="533"/>
  <c r="B109" i="533"/>
  <c r="B110" i="533"/>
  <c r="B111" i="533"/>
  <c r="B112" i="533"/>
  <c r="B113" i="533"/>
  <c r="S107" i="533"/>
  <c r="S106" i="533"/>
  <c r="G65" i="533"/>
  <c r="G66" i="533"/>
  <c r="G67" i="533"/>
  <c r="G73" i="533"/>
  <c r="G92" i="533"/>
  <c r="G93" i="533"/>
  <c r="G94" i="533"/>
  <c r="G95" i="533"/>
  <c r="G104" i="533"/>
  <c r="G105" i="533"/>
  <c r="H65" i="533"/>
  <c r="H66" i="533"/>
  <c r="H67" i="533"/>
  <c r="H73" i="533"/>
  <c r="H92" i="533"/>
  <c r="H93" i="533"/>
  <c r="H27" i="533"/>
  <c r="H94" i="533"/>
  <c r="H95" i="533"/>
  <c r="H104" i="533"/>
  <c r="H105" i="533"/>
  <c r="I65" i="533"/>
  <c r="I66" i="533"/>
  <c r="I67" i="533"/>
  <c r="I73" i="533"/>
  <c r="I92" i="533"/>
  <c r="I93" i="533"/>
  <c r="I27" i="533"/>
  <c r="I94" i="533"/>
  <c r="I95" i="533"/>
  <c r="I104" i="533"/>
  <c r="I105" i="533"/>
  <c r="J65" i="533"/>
  <c r="J66" i="533"/>
  <c r="J67" i="533"/>
  <c r="J73" i="533"/>
  <c r="J92" i="533"/>
  <c r="J93" i="533"/>
  <c r="J27" i="533"/>
  <c r="J94" i="533"/>
  <c r="J95" i="533"/>
  <c r="J104" i="533"/>
  <c r="J105" i="533"/>
  <c r="K65" i="533"/>
  <c r="K66" i="533"/>
  <c r="K67" i="533"/>
  <c r="K73" i="533"/>
  <c r="K92" i="533"/>
  <c r="K93" i="533"/>
  <c r="K27" i="533"/>
  <c r="K94" i="533"/>
  <c r="K95" i="533"/>
  <c r="K104" i="533"/>
  <c r="K105" i="533"/>
  <c r="L65" i="533"/>
  <c r="L66" i="533"/>
  <c r="L67" i="533"/>
  <c r="L73" i="533"/>
  <c r="L92" i="533"/>
  <c r="L93" i="533"/>
  <c r="L27" i="533"/>
  <c r="L94" i="533"/>
  <c r="L95" i="533"/>
  <c r="L104" i="533"/>
  <c r="L105" i="533"/>
  <c r="M65" i="533"/>
  <c r="M66" i="533"/>
  <c r="M67" i="533"/>
  <c r="M73" i="533"/>
  <c r="M92" i="533"/>
  <c r="M93" i="533"/>
  <c r="M27" i="533"/>
  <c r="M94" i="533"/>
  <c r="M95" i="533"/>
  <c r="M104" i="533"/>
  <c r="M105" i="533"/>
  <c r="N65" i="533"/>
  <c r="N66" i="533"/>
  <c r="N67" i="533"/>
  <c r="N73" i="533"/>
  <c r="N92" i="533"/>
  <c r="N93" i="533"/>
  <c r="N27" i="533"/>
  <c r="N94" i="533"/>
  <c r="N95" i="533"/>
  <c r="N104" i="533"/>
  <c r="N105" i="533"/>
  <c r="O65" i="533"/>
  <c r="O66" i="533"/>
  <c r="O67" i="533"/>
  <c r="O73" i="533"/>
  <c r="O92" i="533"/>
  <c r="O93" i="533"/>
  <c r="O27" i="533"/>
  <c r="O94" i="533"/>
  <c r="O95" i="533"/>
  <c r="O104" i="533"/>
  <c r="O105" i="533"/>
  <c r="P65" i="533"/>
  <c r="P66" i="533"/>
  <c r="P67" i="533"/>
  <c r="P73" i="533"/>
  <c r="P92" i="533"/>
  <c r="P93" i="533"/>
  <c r="P27" i="533"/>
  <c r="P94" i="533"/>
  <c r="P95" i="533"/>
  <c r="P104" i="533"/>
  <c r="P105" i="533"/>
  <c r="Q65" i="533"/>
  <c r="Q66" i="533"/>
  <c r="Q67" i="533"/>
  <c r="Q73" i="533"/>
  <c r="Q92" i="533"/>
  <c r="Q93" i="533"/>
  <c r="Q27" i="533"/>
  <c r="Q94" i="533"/>
  <c r="Q95" i="533"/>
  <c r="Q104" i="533"/>
  <c r="Q105" i="533"/>
  <c r="R65" i="533"/>
  <c r="R66" i="533"/>
  <c r="R67" i="533"/>
  <c r="R73" i="533"/>
  <c r="R92" i="533"/>
  <c r="R93" i="533"/>
  <c r="R27" i="533"/>
  <c r="R94" i="533"/>
  <c r="R95" i="533"/>
  <c r="R104" i="533"/>
  <c r="R105" i="533"/>
  <c r="S105" i="533"/>
  <c r="S104" i="533"/>
  <c r="G103" i="533"/>
  <c r="H103" i="533"/>
  <c r="I103" i="533"/>
  <c r="J103" i="533"/>
  <c r="K103" i="533"/>
  <c r="L103" i="533"/>
  <c r="M103" i="533"/>
  <c r="N103" i="533"/>
  <c r="O103" i="533"/>
  <c r="P103" i="533"/>
  <c r="Q103" i="533"/>
  <c r="R103" i="533"/>
  <c r="S103" i="533"/>
  <c r="S102" i="533"/>
  <c r="G98" i="533"/>
  <c r="G99" i="533"/>
  <c r="G101" i="533"/>
  <c r="H98" i="533"/>
  <c r="H99" i="533"/>
  <c r="H101" i="533"/>
  <c r="I98" i="533"/>
  <c r="I99" i="533"/>
  <c r="I101" i="533"/>
  <c r="J98" i="533"/>
  <c r="J99" i="533"/>
  <c r="J101" i="533"/>
  <c r="K98" i="533"/>
  <c r="K99" i="533"/>
  <c r="K101" i="533"/>
  <c r="L98" i="533"/>
  <c r="L99" i="533"/>
  <c r="L101" i="533"/>
  <c r="M98" i="533"/>
  <c r="M99" i="533"/>
  <c r="M101" i="533"/>
  <c r="N98" i="533"/>
  <c r="N99" i="533"/>
  <c r="N101" i="533"/>
  <c r="O98" i="533"/>
  <c r="O99" i="533"/>
  <c r="O101" i="533"/>
  <c r="P98" i="533"/>
  <c r="P99" i="533"/>
  <c r="P101" i="533"/>
  <c r="Q98" i="533"/>
  <c r="Q99" i="533"/>
  <c r="Q101" i="533"/>
  <c r="R98" i="533"/>
  <c r="R99" i="533"/>
  <c r="R101" i="533"/>
  <c r="S101" i="533"/>
  <c r="G100" i="533"/>
  <c r="H100" i="533"/>
  <c r="I100" i="533"/>
  <c r="J100" i="533"/>
  <c r="K100" i="533"/>
  <c r="L100" i="533"/>
  <c r="M100" i="533"/>
  <c r="N100" i="533"/>
  <c r="O100" i="533"/>
  <c r="P100" i="533"/>
  <c r="Q100" i="533"/>
  <c r="R100" i="533"/>
  <c r="S100" i="533"/>
  <c r="S99" i="533"/>
  <c r="S98" i="533"/>
  <c r="S97" i="533"/>
  <c r="S95" i="533"/>
  <c r="S93" i="533"/>
  <c r="S92" i="533"/>
  <c r="S91" i="533"/>
  <c r="S90" i="533"/>
  <c r="S89" i="533"/>
  <c r="S88" i="533"/>
  <c r="S87" i="533"/>
  <c r="S86" i="533"/>
  <c r="S85" i="533"/>
  <c r="S84" i="533"/>
  <c r="S83" i="533"/>
  <c r="S82" i="533"/>
  <c r="D82" i="533"/>
  <c r="S81" i="533"/>
  <c r="D81" i="533"/>
  <c r="S80" i="533"/>
  <c r="D80" i="533"/>
  <c r="S79" i="533"/>
  <c r="D79" i="533"/>
  <c r="S78" i="533"/>
  <c r="D78" i="533"/>
  <c r="S77" i="533"/>
  <c r="D77" i="533"/>
  <c r="S76" i="533"/>
  <c r="S75" i="533"/>
  <c r="S74" i="533"/>
  <c r="S73" i="533"/>
  <c r="S72" i="533"/>
  <c r="S70" i="533"/>
  <c r="S69" i="533"/>
  <c r="S68" i="533"/>
  <c r="S67" i="533"/>
  <c r="S66" i="533"/>
  <c r="S65" i="533"/>
  <c r="S64" i="533"/>
  <c r="S63" i="533"/>
  <c r="S62" i="533"/>
  <c r="S61" i="533"/>
  <c r="S60" i="533"/>
  <c r="S59" i="533"/>
  <c r="S58" i="533"/>
  <c r="S57" i="533"/>
  <c r="S56" i="533"/>
  <c r="S55" i="533"/>
  <c r="S54" i="533"/>
  <c r="E54" i="533"/>
  <c r="C54" i="533"/>
  <c r="S53" i="533"/>
  <c r="E53" i="533"/>
  <c r="C53" i="533"/>
  <c r="S52" i="533"/>
  <c r="E52" i="533"/>
  <c r="C52" i="533"/>
  <c r="S51" i="533"/>
  <c r="E51" i="533"/>
  <c r="C51" i="533"/>
  <c r="S50" i="533"/>
  <c r="E50" i="533"/>
  <c r="C50" i="533"/>
  <c r="S49" i="533"/>
  <c r="E49" i="533"/>
  <c r="C49" i="533"/>
  <c r="S48" i="533"/>
  <c r="S47" i="533"/>
  <c r="S46" i="533"/>
  <c r="S45" i="533"/>
  <c r="R2" i="533"/>
  <c r="R44" i="533"/>
  <c r="Q2" i="533"/>
  <c r="Q44" i="533"/>
  <c r="P2" i="533"/>
  <c r="P44" i="533"/>
  <c r="O2" i="533"/>
  <c r="O44" i="533"/>
  <c r="N2" i="533"/>
  <c r="N44" i="533"/>
  <c r="M2" i="533"/>
  <c r="M44" i="533"/>
  <c r="L2" i="533"/>
  <c r="L44" i="533"/>
  <c r="K2" i="533"/>
  <c r="K44" i="533"/>
  <c r="J2" i="533"/>
  <c r="J44" i="533"/>
  <c r="I2" i="533"/>
  <c r="I44" i="533"/>
  <c r="H2" i="533"/>
  <c r="H44" i="533"/>
  <c r="G2" i="533"/>
  <c r="G44" i="533"/>
  <c r="A44" i="533"/>
  <c r="R7" i="533"/>
  <c r="Q7" i="533"/>
  <c r="P7" i="533"/>
  <c r="O7" i="533"/>
  <c r="N7" i="533"/>
  <c r="M7" i="533"/>
  <c r="L7" i="533"/>
  <c r="K7" i="533"/>
  <c r="J7" i="533"/>
  <c r="I7" i="533"/>
  <c r="H7" i="533"/>
  <c r="H1" i="533"/>
  <c r="I1" i="533"/>
  <c r="J1" i="533"/>
  <c r="K1" i="533"/>
  <c r="L1" i="533"/>
  <c r="M1" i="533"/>
  <c r="N1" i="533"/>
  <c r="O1" i="533"/>
  <c r="P1" i="533"/>
  <c r="Q1" i="533"/>
  <c r="R1" i="533"/>
  <c r="B74" i="532"/>
  <c r="B75" i="532"/>
  <c r="B76" i="532"/>
  <c r="B77" i="532"/>
  <c r="B78" i="532"/>
  <c r="B79" i="532"/>
  <c r="B80" i="532"/>
  <c r="B81" i="532"/>
  <c r="B82" i="532"/>
  <c r="B83" i="532"/>
  <c r="B84" i="532"/>
  <c r="B85" i="532"/>
  <c r="B86" i="532"/>
  <c r="B87" i="532"/>
  <c r="B88" i="532"/>
  <c r="B89" i="532"/>
  <c r="B90" i="532"/>
  <c r="B91" i="532"/>
  <c r="B92" i="532"/>
  <c r="B93" i="532"/>
  <c r="B94" i="532"/>
  <c r="B95" i="532"/>
  <c r="B96" i="532"/>
  <c r="B97" i="532"/>
  <c r="B98" i="532"/>
  <c r="B99" i="532"/>
  <c r="B100" i="532"/>
  <c r="B101" i="532"/>
  <c r="B102" i="532"/>
  <c r="B103" i="532"/>
  <c r="B104" i="532"/>
  <c r="B105" i="532"/>
  <c r="D205" i="532"/>
  <c r="B173" i="532"/>
  <c r="B174" i="532"/>
  <c r="B175" i="532"/>
  <c r="B176" i="532"/>
  <c r="B177" i="532"/>
  <c r="B178" i="532"/>
  <c r="B179" i="532"/>
  <c r="B180" i="532"/>
  <c r="B181" i="532"/>
  <c r="B182" i="532"/>
  <c r="B183" i="532"/>
  <c r="B184" i="532"/>
  <c r="B185" i="532"/>
  <c r="B186" i="532"/>
  <c r="B187" i="532"/>
  <c r="B188" i="532"/>
  <c r="B189" i="532"/>
  <c r="B190" i="532"/>
  <c r="B191" i="532"/>
  <c r="B192" i="532"/>
  <c r="B193" i="532"/>
  <c r="B194" i="532"/>
  <c r="B195" i="532"/>
  <c r="B196" i="532"/>
  <c r="B197" i="532"/>
  <c r="B198" i="532"/>
  <c r="B199" i="532"/>
  <c r="B200" i="532"/>
  <c r="B201" i="532"/>
  <c r="B202" i="532"/>
  <c r="B203" i="532"/>
  <c r="B204" i="532"/>
  <c r="B205" i="532"/>
  <c r="D204" i="532"/>
  <c r="R203" i="532"/>
  <c r="Q203" i="532"/>
  <c r="P203" i="532"/>
  <c r="O203" i="532"/>
  <c r="N203" i="532"/>
  <c r="M203" i="532"/>
  <c r="L203" i="532"/>
  <c r="K203" i="532"/>
  <c r="J203" i="532"/>
  <c r="I203" i="532"/>
  <c r="H203" i="532"/>
  <c r="G203" i="532"/>
  <c r="D203" i="532"/>
  <c r="R202" i="532"/>
  <c r="Q202" i="532"/>
  <c r="P202" i="532"/>
  <c r="O202" i="532"/>
  <c r="N202" i="532"/>
  <c r="M202" i="532"/>
  <c r="L202" i="532"/>
  <c r="K202" i="532"/>
  <c r="J202" i="532"/>
  <c r="I202" i="532"/>
  <c r="H202" i="532"/>
  <c r="G202" i="532"/>
  <c r="D202" i="532"/>
  <c r="D201" i="532"/>
  <c r="D200" i="532"/>
  <c r="D199" i="532"/>
  <c r="D198" i="532"/>
  <c r="D197" i="532"/>
  <c r="D196" i="532"/>
  <c r="H26" i="532"/>
  <c r="I26" i="532"/>
  <c r="J26" i="532"/>
  <c r="K26" i="532"/>
  <c r="L26" i="532"/>
  <c r="M26" i="532"/>
  <c r="N26" i="532"/>
  <c r="O26" i="532"/>
  <c r="P26" i="532"/>
  <c r="Q26" i="532"/>
  <c r="R26" i="532"/>
  <c r="D195" i="532"/>
  <c r="D194" i="532"/>
  <c r="D193" i="532"/>
  <c r="R64" i="532"/>
  <c r="R102" i="532"/>
  <c r="R90" i="532"/>
  <c r="R91" i="532"/>
  <c r="Q64" i="532"/>
  <c r="Q102" i="532"/>
  <c r="Q90" i="532"/>
  <c r="Q91" i="532"/>
  <c r="P64" i="532"/>
  <c r="P102" i="532"/>
  <c r="P90" i="532"/>
  <c r="P91" i="532"/>
  <c r="O64" i="532"/>
  <c r="O102" i="532"/>
  <c r="O90" i="532"/>
  <c r="O91" i="532"/>
  <c r="N64" i="532"/>
  <c r="N102" i="532"/>
  <c r="N90" i="532"/>
  <c r="N91" i="532"/>
  <c r="M64" i="532"/>
  <c r="M102" i="532"/>
  <c r="M90" i="532"/>
  <c r="M91" i="532"/>
  <c r="L64" i="532"/>
  <c r="L102" i="532"/>
  <c r="L90" i="532"/>
  <c r="L91" i="532"/>
  <c r="K64" i="532"/>
  <c r="K102" i="532"/>
  <c r="K90" i="532"/>
  <c r="K91" i="532"/>
  <c r="J64" i="532"/>
  <c r="J102" i="532"/>
  <c r="J90" i="532"/>
  <c r="J91" i="532"/>
  <c r="I64" i="532"/>
  <c r="I102" i="532"/>
  <c r="I90" i="532"/>
  <c r="I91" i="532"/>
  <c r="H64" i="532"/>
  <c r="H102" i="532"/>
  <c r="H90" i="532"/>
  <c r="H91" i="532"/>
  <c r="G102" i="532"/>
  <c r="G90" i="532"/>
  <c r="G91" i="532"/>
  <c r="D192" i="532"/>
  <c r="D191" i="532"/>
  <c r="D190" i="532"/>
  <c r="D189" i="532"/>
  <c r="R188" i="532"/>
  <c r="Q188" i="532"/>
  <c r="P188" i="532"/>
  <c r="O188" i="532"/>
  <c r="N188" i="532"/>
  <c r="M188" i="532"/>
  <c r="L188" i="532"/>
  <c r="K188" i="532"/>
  <c r="J188" i="532"/>
  <c r="I188" i="532"/>
  <c r="H188" i="532"/>
  <c r="G188" i="532"/>
  <c r="D188" i="532"/>
  <c r="R187" i="532"/>
  <c r="Q187" i="532"/>
  <c r="P187" i="532"/>
  <c r="O187" i="532"/>
  <c r="N187" i="532"/>
  <c r="M187" i="532"/>
  <c r="L187" i="532"/>
  <c r="K187" i="532"/>
  <c r="J187" i="532"/>
  <c r="I187" i="532"/>
  <c r="H187" i="532"/>
  <c r="G187" i="532"/>
  <c r="D187" i="532"/>
  <c r="D186" i="532"/>
  <c r="R185" i="532"/>
  <c r="Q185" i="532"/>
  <c r="P185" i="532"/>
  <c r="O185" i="532"/>
  <c r="N185" i="532"/>
  <c r="M185" i="532"/>
  <c r="L185" i="532"/>
  <c r="K185" i="532"/>
  <c r="J185" i="532"/>
  <c r="I185" i="532"/>
  <c r="H185" i="532"/>
  <c r="G185" i="532"/>
  <c r="D185" i="532"/>
  <c r="R184" i="532"/>
  <c r="Q184" i="532"/>
  <c r="P184" i="532"/>
  <c r="O184" i="532"/>
  <c r="N184" i="532"/>
  <c r="M184" i="532"/>
  <c r="L184" i="532"/>
  <c r="K184" i="532"/>
  <c r="J184" i="532"/>
  <c r="I184" i="532"/>
  <c r="H184" i="532"/>
  <c r="G184" i="532"/>
  <c r="D184" i="532"/>
  <c r="R183" i="532"/>
  <c r="Q183" i="532"/>
  <c r="P183" i="532"/>
  <c r="O183" i="532"/>
  <c r="N183" i="532"/>
  <c r="M183" i="532"/>
  <c r="L183" i="532"/>
  <c r="K183" i="532"/>
  <c r="J183" i="532"/>
  <c r="I183" i="532"/>
  <c r="H183" i="532"/>
  <c r="G183" i="532"/>
  <c r="D183" i="532"/>
  <c r="R182" i="532"/>
  <c r="Q182" i="532"/>
  <c r="P182" i="532"/>
  <c r="O182" i="532"/>
  <c r="N182" i="532"/>
  <c r="M182" i="532"/>
  <c r="L182" i="532"/>
  <c r="K182" i="532"/>
  <c r="J182" i="532"/>
  <c r="I182" i="532"/>
  <c r="H182" i="532"/>
  <c r="G182" i="532"/>
  <c r="D182" i="532"/>
  <c r="R181" i="532"/>
  <c r="Q181" i="532"/>
  <c r="P181" i="532"/>
  <c r="O181" i="532"/>
  <c r="N181" i="532"/>
  <c r="M181" i="532"/>
  <c r="L181" i="532"/>
  <c r="K181" i="532"/>
  <c r="J181" i="532"/>
  <c r="I181" i="532"/>
  <c r="H181" i="532"/>
  <c r="G181" i="532"/>
  <c r="D181" i="532"/>
  <c r="R180" i="532"/>
  <c r="Q180" i="532"/>
  <c r="P180" i="532"/>
  <c r="O180" i="532"/>
  <c r="N180" i="532"/>
  <c r="M180" i="532"/>
  <c r="L180" i="532"/>
  <c r="K180" i="532"/>
  <c r="J180" i="532"/>
  <c r="I180" i="532"/>
  <c r="H180" i="532"/>
  <c r="G180" i="532"/>
  <c r="D180" i="532"/>
  <c r="R179" i="532"/>
  <c r="Q179" i="532"/>
  <c r="P179" i="532"/>
  <c r="O179" i="532"/>
  <c r="N179" i="532"/>
  <c r="M179" i="532"/>
  <c r="L179" i="532"/>
  <c r="K179" i="532"/>
  <c r="J179" i="532"/>
  <c r="I179" i="532"/>
  <c r="H179" i="532"/>
  <c r="G179" i="532"/>
  <c r="D179" i="532"/>
  <c r="R178" i="532"/>
  <c r="Q178" i="532"/>
  <c r="P178" i="532"/>
  <c r="O178" i="532"/>
  <c r="N178" i="532"/>
  <c r="M178" i="532"/>
  <c r="L178" i="532"/>
  <c r="K178" i="532"/>
  <c r="J178" i="532"/>
  <c r="I178" i="532"/>
  <c r="H178" i="532"/>
  <c r="G178" i="532"/>
  <c r="D178" i="532"/>
  <c r="R177" i="532"/>
  <c r="Q177" i="532"/>
  <c r="P177" i="532"/>
  <c r="O177" i="532"/>
  <c r="N177" i="532"/>
  <c r="M177" i="532"/>
  <c r="L177" i="532"/>
  <c r="K177" i="532"/>
  <c r="J177" i="532"/>
  <c r="I177" i="532"/>
  <c r="H177" i="532"/>
  <c r="G177" i="532"/>
  <c r="D177" i="532"/>
  <c r="R176" i="532"/>
  <c r="Q176" i="532"/>
  <c r="P176" i="532"/>
  <c r="O176" i="532"/>
  <c r="N176" i="532"/>
  <c r="M176" i="532"/>
  <c r="L176" i="532"/>
  <c r="K176" i="532"/>
  <c r="J176" i="532"/>
  <c r="I176" i="532"/>
  <c r="H176" i="532"/>
  <c r="G176" i="532"/>
  <c r="D176" i="532"/>
  <c r="R175" i="532"/>
  <c r="Q175" i="532"/>
  <c r="P175" i="532"/>
  <c r="O175" i="532"/>
  <c r="N175" i="532"/>
  <c r="M175" i="532"/>
  <c r="L175" i="532"/>
  <c r="K175" i="532"/>
  <c r="J175" i="532"/>
  <c r="I175" i="532"/>
  <c r="H175" i="532"/>
  <c r="G175" i="532"/>
  <c r="D175" i="532"/>
  <c r="R174" i="532"/>
  <c r="Q174" i="532"/>
  <c r="P174" i="532"/>
  <c r="O174" i="532"/>
  <c r="N174" i="532"/>
  <c r="M174" i="532"/>
  <c r="L174" i="532"/>
  <c r="K174" i="532"/>
  <c r="J174" i="532"/>
  <c r="I174" i="532"/>
  <c r="H174" i="532"/>
  <c r="G174" i="532"/>
  <c r="D174" i="532"/>
  <c r="D173" i="532"/>
  <c r="G64" i="532"/>
  <c r="R172" i="532"/>
  <c r="Q172" i="532"/>
  <c r="P172" i="532"/>
  <c r="O172" i="532"/>
  <c r="N172" i="532"/>
  <c r="M172" i="532"/>
  <c r="L172" i="532"/>
  <c r="K172" i="532"/>
  <c r="J172" i="532"/>
  <c r="I172" i="532"/>
  <c r="H172" i="532"/>
  <c r="G172" i="532"/>
  <c r="R170" i="532"/>
  <c r="Q170" i="532"/>
  <c r="P170" i="532"/>
  <c r="O170" i="532"/>
  <c r="N170" i="532"/>
  <c r="M170" i="532"/>
  <c r="L170" i="532"/>
  <c r="K170" i="532"/>
  <c r="J170" i="532"/>
  <c r="I170" i="532"/>
  <c r="H170" i="532"/>
  <c r="G170" i="532"/>
  <c r="D170" i="532"/>
  <c r="R169" i="532"/>
  <c r="Q169" i="532"/>
  <c r="P169" i="532"/>
  <c r="O169" i="532"/>
  <c r="N169" i="532"/>
  <c r="M169" i="532"/>
  <c r="L169" i="532"/>
  <c r="K169" i="532"/>
  <c r="J169" i="532"/>
  <c r="I169" i="532"/>
  <c r="H169" i="532"/>
  <c r="G169" i="532"/>
  <c r="D169" i="532"/>
  <c r="R168" i="532"/>
  <c r="Q168" i="532"/>
  <c r="P168" i="532"/>
  <c r="O168" i="532"/>
  <c r="N168" i="532"/>
  <c r="M168" i="532"/>
  <c r="L168" i="532"/>
  <c r="K168" i="532"/>
  <c r="J168" i="532"/>
  <c r="I168" i="532"/>
  <c r="H168" i="532"/>
  <c r="G168" i="532"/>
  <c r="D168" i="532"/>
  <c r="D167" i="532"/>
  <c r="R166" i="532"/>
  <c r="Q166" i="532"/>
  <c r="P166" i="532"/>
  <c r="O166" i="532"/>
  <c r="N166" i="532"/>
  <c r="M166" i="532"/>
  <c r="L166" i="532"/>
  <c r="K166" i="532"/>
  <c r="J166" i="532"/>
  <c r="I166" i="532"/>
  <c r="H166" i="532"/>
  <c r="G166" i="532"/>
  <c r="D166" i="532"/>
  <c r="R165" i="532"/>
  <c r="Q165" i="532"/>
  <c r="P165" i="532"/>
  <c r="O165" i="532"/>
  <c r="N165" i="532"/>
  <c r="M165" i="532"/>
  <c r="L165" i="532"/>
  <c r="K165" i="532"/>
  <c r="J165" i="532"/>
  <c r="I165" i="532"/>
  <c r="H165" i="532"/>
  <c r="G165" i="532"/>
  <c r="D165" i="532"/>
  <c r="R164" i="532"/>
  <c r="Q164" i="532"/>
  <c r="P164" i="532"/>
  <c r="O164" i="532"/>
  <c r="N164" i="532"/>
  <c r="M164" i="532"/>
  <c r="L164" i="532"/>
  <c r="K164" i="532"/>
  <c r="J164" i="532"/>
  <c r="I164" i="532"/>
  <c r="H164" i="532"/>
  <c r="G164" i="532"/>
  <c r="D164" i="532"/>
  <c r="R163" i="532"/>
  <c r="Q163" i="532"/>
  <c r="P163" i="532"/>
  <c r="O163" i="532"/>
  <c r="N163" i="532"/>
  <c r="M163" i="532"/>
  <c r="L163" i="532"/>
  <c r="K163" i="532"/>
  <c r="J163" i="532"/>
  <c r="I163" i="532"/>
  <c r="H163" i="532"/>
  <c r="G163" i="532"/>
  <c r="D163" i="532"/>
  <c r="D162" i="532"/>
  <c r="R161" i="532"/>
  <c r="Q161" i="532"/>
  <c r="P161" i="532"/>
  <c r="O161" i="532"/>
  <c r="N161" i="532"/>
  <c r="M161" i="532"/>
  <c r="L161" i="532"/>
  <c r="K161" i="532"/>
  <c r="J161" i="532"/>
  <c r="I161" i="532"/>
  <c r="H161" i="532"/>
  <c r="G161" i="532"/>
  <c r="D161" i="532"/>
  <c r="R160" i="532"/>
  <c r="Q160" i="532"/>
  <c r="P160" i="532"/>
  <c r="O160" i="532"/>
  <c r="N160" i="532"/>
  <c r="M160" i="532"/>
  <c r="L160" i="532"/>
  <c r="K160" i="532"/>
  <c r="J160" i="532"/>
  <c r="I160" i="532"/>
  <c r="H160" i="532"/>
  <c r="G160" i="532"/>
  <c r="D160" i="532"/>
  <c r="R159" i="532"/>
  <c r="Q159" i="532"/>
  <c r="P159" i="532"/>
  <c r="O159" i="532"/>
  <c r="N159" i="532"/>
  <c r="M159" i="532"/>
  <c r="L159" i="532"/>
  <c r="K159" i="532"/>
  <c r="J159" i="532"/>
  <c r="I159" i="532"/>
  <c r="H159" i="532"/>
  <c r="G159" i="532"/>
  <c r="D159" i="532"/>
  <c r="R158" i="532"/>
  <c r="Q158" i="532"/>
  <c r="P158" i="532"/>
  <c r="O158" i="532"/>
  <c r="N158" i="532"/>
  <c r="M158" i="532"/>
  <c r="L158" i="532"/>
  <c r="K158" i="532"/>
  <c r="J158" i="532"/>
  <c r="I158" i="532"/>
  <c r="H158" i="532"/>
  <c r="G158" i="532"/>
  <c r="D158" i="532"/>
  <c r="R157" i="532"/>
  <c r="Q157" i="532"/>
  <c r="P157" i="532"/>
  <c r="O157" i="532"/>
  <c r="N157" i="532"/>
  <c r="M157" i="532"/>
  <c r="L157" i="532"/>
  <c r="K157" i="532"/>
  <c r="J157" i="532"/>
  <c r="I157" i="532"/>
  <c r="H157" i="532"/>
  <c r="G157" i="532"/>
  <c r="D157" i="532"/>
  <c r="R156" i="532"/>
  <c r="Q156" i="532"/>
  <c r="P156" i="532"/>
  <c r="O156" i="532"/>
  <c r="N156" i="532"/>
  <c r="M156" i="532"/>
  <c r="L156" i="532"/>
  <c r="K156" i="532"/>
  <c r="J156" i="532"/>
  <c r="I156" i="532"/>
  <c r="H156" i="532"/>
  <c r="G156" i="532"/>
  <c r="D156" i="532"/>
  <c r="R155" i="532"/>
  <c r="Q155" i="532"/>
  <c r="P155" i="532"/>
  <c r="O155" i="532"/>
  <c r="N155" i="532"/>
  <c r="M155" i="532"/>
  <c r="L155" i="532"/>
  <c r="K155" i="532"/>
  <c r="J155" i="532"/>
  <c r="I155" i="532"/>
  <c r="H155" i="532"/>
  <c r="G155" i="532"/>
  <c r="D155" i="532"/>
  <c r="R154" i="532"/>
  <c r="Q154" i="532"/>
  <c r="P154" i="532"/>
  <c r="O154" i="532"/>
  <c r="N154" i="532"/>
  <c r="M154" i="532"/>
  <c r="L154" i="532"/>
  <c r="K154" i="532"/>
  <c r="J154" i="532"/>
  <c r="I154" i="532"/>
  <c r="H154" i="532"/>
  <c r="G154" i="532"/>
  <c r="D154" i="532"/>
  <c r="R153" i="532"/>
  <c r="Q153" i="532"/>
  <c r="P153" i="532"/>
  <c r="O153" i="532"/>
  <c r="N153" i="532"/>
  <c r="M153" i="532"/>
  <c r="L153" i="532"/>
  <c r="K153" i="532"/>
  <c r="J153" i="532"/>
  <c r="I153" i="532"/>
  <c r="H153" i="532"/>
  <c r="G153" i="532"/>
  <c r="D153" i="532"/>
  <c r="R152" i="532"/>
  <c r="Q152" i="532"/>
  <c r="P152" i="532"/>
  <c r="O152" i="532"/>
  <c r="N152" i="532"/>
  <c r="M152" i="532"/>
  <c r="L152" i="532"/>
  <c r="K152" i="532"/>
  <c r="J152" i="532"/>
  <c r="I152" i="532"/>
  <c r="H152" i="532"/>
  <c r="G152" i="532"/>
  <c r="D152" i="532"/>
  <c r="R151" i="532"/>
  <c r="Q151" i="532"/>
  <c r="P151" i="532"/>
  <c r="O151" i="532"/>
  <c r="N151" i="532"/>
  <c r="M151" i="532"/>
  <c r="L151" i="532"/>
  <c r="K151" i="532"/>
  <c r="J151" i="532"/>
  <c r="I151" i="532"/>
  <c r="H151" i="532"/>
  <c r="G151" i="532"/>
  <c r="D151" i="532"/>
  <c r="G150" i="532"/>
  <c r="D150" i="532"/>
  <c r="G149" i="532"/>
  <c r="D149" i="532"/>
  <c r="G148" i="532"/>
  <c r="D148" i="532"/>
  <c r="N143" i="532"/>
  <c r="M143" i="532"/>
  <c r="L143" i="532"/>
  <c r="K143" i="532"/>
  <c r="J143" i="532"/>
  <c r="I143" i="532"/>
  <c r="H143" i="532"/>
  <c r="G143" i="532"/>
  <c r="G147" i="532"/>
  <c r="D147" i="532"/>
  <c r="G146" i="532"/>
  <c r="D146" i="532"/>
  <c r="R145" i="532"/>
  <c r="Q145" i="532"/>
  <c r="P145" i="532"/>
  <c r="O145" i="532"/>
  <c r="N145" i="532"/>
  <c r="M145" i="532"/>
  <c r="L145" i="532"/>
  <c r="K145" i="532"/>
  <c r="J145" i="532"/>
  <c r="I145" i="532"/>
  <c r="H145" i="532"/>
  <c r="G145" i="532"/>
  <c r="D145" i="532"/>
  <c r="R143" i="532"/>
  <c r="Q143" i="532"/>
  <c r="P143" i="532"/>
  <c r="O143" i="532"/>
  <c r="R142" i="532"/>
  <c r="Q142" i="532"/>
  <c r="P142" i="532"/>
  <c r="O142" i="532"/>
  <c r="N142" i="532"/>
  <c r="M142" i="532"/>
  <c r="L142" i="532"/>
  <c r="K142" i="532"/>
  <c r="J142" i="532"/>
  <c r="I142" i="532"/>
  <c r="H142" i="532"/>
  <c r="G142" i="532"/>
  <c r="R109" i="532"/>
  <c r="R141" i="532"/>
  <c r="Q109" i="532"/>
  <c r="Q141" i="532"/>
  <c r="P109" i="532"/>
  <c r="P141" i="532"/>
  <c r="O109" i="532"/>
  <c r="O141" i="532"/>
  <c r="N109" i="532"/>
  <c r="N141" i="532"/>
  <c r="M109" i="532"/>
  <c r="M141" i="532"/>
  <c r="L109" i="532"/>
  <c r="L141" i="532"/>
  <c r="K109" i="532"/>
  <c r="K141" i="532"/>
  <c r="J109" i="532"/>
  <c r="J141" i="532"/>
  <c r="I109" i="532"/>
  <c r="I141" i="532"/>
  <c r="H109" i="532"/>
  <c r="H141" i="532"/>
  <c r="G109" i="532"/>
  <c r="G141" i="532"/>
  <c r="R139" i="532"/>
  <c r="Q139" i="532"/>
  <c r="P139" i="532"/>
  <c r="O139" i="532"/>
  <c r="N139" i="532"/>
  <c r="M139" i="532"/>
  <c r="L139" i="532"/>
  <c r="K139" i="532"/>
  <c r="J139" i="532"/>
  <c r="I139" i="532"/>
  <c r="H139" i="532"/>
  <c r="G139" i="532"/>
  <c r="G121" i="532"/>
  <c r="G122" i="532"/>
  <c r="G123" i="532"/>
  <c r="I123" i="532"/>
  <c r="I124" i="532"/>
  <c r="H123" i="532"/>
  <c r="H124" i="532"/>
  <c r="G124" i="532"/>
  <c r="I122" i="532"/>
  <c r="B106" i="532"/>
  <c r="B107" i="532"/>
  <c r="B108" i="532"/>
  <c r="B109" i="532"/>
  <c r="B110" i="532"/>
  <c r="B111" i="532"/>
  <c r="B112" i="532"/>
  <c r="B113" i="532"/>
  <c r="S107" i="532"/>
  <c r="S106" i="532"/>
  <c r="G65" i="532"/>
  <c r="G66" i="532"/>
  <c r="G67" i="532"/>
  <c r="G73" i="532"/>
  <c r="G92" i="532"/>
  <c r="G93" i="532"/>
  <c r="G94" i="532"/>
  <c r="G95" i="532"/>
  <c r="G104" i="532"/>
  <c r="G105" i="532"/>
  <c r="H65" i="532"/>
  <c r="H66" i="532"/>
  <c r="H67" i="532"/>
  <c r="H73" i="532"/>
  <c r="H92" i="532"/>
  <c r="H93" i="532"/>
  <c r="H27" i="532"/>
  <c r="H94" i="532"/>
  <c r="H95" i="532"/>
  <c r="H104" i="532"/>
  <c r="H105" i="532"/>
  <c r="I65" i="532"/>
  <c r="I66" i="532"/>
  <c r="I67" i="532"/>
  <c r="I73" i="532"/>
  <c r="I92" i="532"/>
  <c r="I93" i="532"/>
  <c r="I27" i="532"/>
  <c r="I94" i="532"/>
  <c r="I95" i="532"/>
  <c r="I104" i="532"/>
  <c r="I105" i="532"/>
  <c r="J65" i="532"/>
  <c r="J66" i="532"/>
  <c r="J67" i="532"/>
  <c r="J73" i="532"/>
  <c r="J92" i="532"/>
  <c r="J93" i="532"/>
  <c r="J27" i="532"/>
  <c r="J94" i="532"/>
  <c r="J95" i="532"/>
  <c r="J104" i="532"/>
  <c r="J105" i="532"/>
  <c r="K65" i="532"/>
  <c r="K66" i="532"/>
  <c r="K67" i="532"/>
  <c r="K73" i="532"/>
  <c r="K92" i="532"/>
  <c r="K93" i="532"/>
  <c r="K27" i="532"/>
  <c r="K94" i="532"/>
  <c r="K95" i="532"/>
  <c r="K104" i="532"/>
  <c r="K105" i="532"/>
  <c r="L65" i="532"/>
  <c r="L66" i="532"/>
  <c r="L67" i="532"/>
  <c r="L73" i="532"/>
  <c r="L92" i="532"/>
  <c r="L93" i="532"/>
  <c r="L27" i="532"/>
  <c r="L94" i="532"/>
  <c r="L95" i="532"/>
  <c r="L104" i="532"/>
  <c r="L105" i="532"/>
  <c r="M65" i="532"/>
  <c r="M66" i="532"/>
  <c r="M67" i="532"/>
  <c r="M73" i="532"/>
  <c r="M92" i="532"/>
  <c r="M93" i="532"/>
  <c r="M27" i="532"/>
  <c r="M94" i="532"/>
  <c r="M95" i="532"/>
  <c r="M104" i="532"/>
  <c r="M105" i="532"/>
  <c r="N65" i="532"/>
  <c r="N66" i="532"/>
  <c r="N67" i="532"/>
  <c r="N73" i="532"/>
  <c r="N92" i="532"/>
  <c r="N93" i="532"/>
  <c r="N27" i="532"/>
  <c r="N94" i="532"/>
  <c r="N95" i="532"/>
  <c r="N104" i="532"/>
  <c r="N105" i="532"/>
  <c r="O65" i="532"/>
  <c r="O66" i="532"/>
  <c r="O67" i="532"/>
  <c r="O73" i="532"/>
  <c r="O92" i="532"/>
  <c r="O93" i="532"/>
  <c r="O27" i="532"/>
  <c r="O94" i="532"/>
  <c r="O95" i="532"/>
  <c r="O104" i="532"/>
  <c r="O105" i="532"/>
  <c r="P65" i="532"/>
  <c r="P66" i="532"/>
  <c r="P67" i="532"/>
  <c r="P73" i="532"/>
  <c r="P92" i="532"/>
  <c r="P93" i="532"/>
  <c r="P27" i="532"/>
  <c r="P94" i="532"/>
  <c r="P95" i="532"/>
  <c r="P104" i="532"/>
  <c r="P105" i="532"/>
  <c r="Q65" i="532"/>
  <c r="Q66" i="532"/>
  <c r="Q67" i="532"/>
  <c r="Q73" i="532"/>
  <c r="Q92" i="532"/>
  <c r="Q93" i="532"/>
  <c r="Q27" i="532"/>
  <c r="Q94" i="532"/>
  <c r="Q95" i="532"/>
  <c r="Q104" i="532"/>
  <c r="Q105" i="532"/>
  <c r="R65" i="532"/>
  <c r="R66" i="532"/>
  <c r="R67" i="532"/>
  <c r="R73" i="532"/>
  <c r="R92" i="532"/>
  <c r="R93" i="532"/>
  <c r="R27" i="532"/>
  <c r="R94" i="532"/>
  <c r="R95" i="532"/>
  <c r="R104" i="532"/>
  <c r="R105" i="532"/>
  <c r="S105" i="532"/>
  <c r="S104" i="532"/>
  <c r="G103" i="532"/>
  <c r="H103" i="532"/>
  <c r="I103" i="532"/>
  <c r="J103" i="532"/>
  <c r="K103" i="532"/>
  <c r="L103" i="532"/>
  <c r="M103" i="532"/>
  <c r="N103" i="532"/>
  <c r="O103" i="532"/>
  <c r="P103" i="532"/>
  <c r="Q103" i="532"/>
  <c r="R103" i="532"/>
  <c r="S103" i="532"/>
  <c r="S102" i="532"/>
  <c r="G98" i="532"/>
  <c r="G99" i="532"/>
  <c r="G101" i="532"/>
  <c r="H98" i="532"/>
  <c r="H99" i="532"/>
  <c r="H101" i="532"/>
  <c r="I98" i="532"/>
  <c r="I99" i="532"/>
  <c r="I101" i="532"/>
  <c r="J98" i="532"/>
  <c r="J99" i="532"/>
  <c r="J101" i="532"/>
  <c r="K98" i="532"/>
  <c r="K99" i="532"/>
  <c r="K101" i="532"/>
  <c r="L98" i="532"/>
  <c r="L99" i="532"/>
  <c r="L101" i="532"/>
  <c r="M98" i="532"/>
  <c r="M99" i="532"/>
  <c r="M101" i="532"/>
  <c r="N98" i="532"/>
  <c r="N99" i="532"/>
  <c r="N101" i="532"/>
  <c r="O98" i="532"/>
  <c r="O99" i="532"/>
  <c r="O101" i="532"/>
  <c r="P98" i="532"/>
  <c r="P99" i="532"/>
  <c r="P101" i="532"/>
  <c r="Q98" i="532"/>
  <c r="Q99" i="532"/>
  <c r="Q101" i="532"/>
  <c r="R98" i="532"/>
  <c r="R99" i="532"/>
  <c r="R101" i="532"/>
  <c r="S101" i="532"/>
  <c r="G100" i="532"/>
  <c r="H100" i="532"/>
  <c r="I100" i="532"/>
  <c r="J100" i="532"/>
  <c r="K100" i="532"/>
  <c r="L100" i="532"/>
  <c r="M100" i="532"/>
  <c r="N100" i="532"/>
  <c r="O100" i="532"/>
  <c r="P100" i="532"/>
  <c r="Q100" i="532"/>
  <c r="R100" i="532"/>
  <c r="S100" i="532"/>
  <c r="S99" i="532"/>
  <c r="S98" i="532"/>
  <c r="S97" i="532"/>
  <c r="S95" i="532"/>
  <c r="S93" i="532"/>
  <c r="S92" i="532"/>
  <c r="S91" i="532"/>
  <c r="S90" i="532"/>
  <c r="S89" i="532"/>
  <c r="S88" i="532"/>
  <c r="S87" i="532"/>
  <c r="S86" i="532"/>
  <c r="S85" i="532"/>
  <c r="S84" i="532"/>
  <c r="S83" i="532"/>
  <c r="S82" i="532"/>
  <c r="D82" i="532"/>
  <c r="S81" i="532"/>
  <c r="D81" i="532"/>
  <c r="S80" i="532"/>
  <c r="D80" i="532"/>
  <c r="S79" i="532"/>
  <c r="D79" i="532"/>
  <c r="S78" i="532"/>
  <c r="D78" i="532"/>
  <c r="S77" i="532"/>
  <c r="D77" i="532"/>
  <c r="S76" i="532"/>
  <c r="S75" i="532"/>
  <c r="S74" i="532"/>
  <c r="S73" i="532"/>
  <c r="S72" i="532"/>
  <c r="S70" i="532"/>
  <c r="S69" i="532"/>
  <c r="S68" i="532"/>
  <c r="S67" i="532"/>
  <c r="S66" i="532"/>
  <c r="S65" i="532"/>
  <c r="S64" i="532"/>
  <c r="S63" i="532"/>
  <c r="S62" i="532"/>
  <c r="S61" i="532"/>
  <c r="S60" i="532"/>
  <c r="S59" i="532"/>
  <c r="S58" i="532"/>
  <c r="S57" i="532"/>
  <c r="S56" i="532"/>
  <c r="S55" i="532"/>
  <c r="S54" i="532"/>
  <c r="E54" i="532"/>
  <c r="C54" i="532"/>
  <c r="S53" i="532"/>
  <c r="E53" i="532"/>
  <c r="C53" i="532"/>
  <c r="S52" i="532"/>
  <c r="E52" i="532"/>
  <c r="C52" i="532"/>
  <c r="S51" i="532"/>
  <c r="E51" i="532"/>
  <c r="C51" i="532"/>
  <c r="S50" i="532"/>
  <c r="E50" i="532"/>
  <c r="C50" i="532"/>
  <c r="S49" i="532"/>
  <c r="E49" i="532"/>
  <c r="C49" i="532"/>
  <c r="S48" i="532"/>
  <c r="S47" i="532"/>
  <c r="S46" i="532"/>
  <c r="S45" i="532"/>
  <c r="R2" i="532"/>
  <c r="R44" i="532"/>
  <c r="Q2" i="532"/>
  <c r="Q44" i="532"/>
  <c r="P2" i="532"/>
  <c r="P44" i="532"/>
  <c r="O2" i="532"/>
  <c r="O44" i="532"/>
  <c r="N2" i="532"/>
  <c r="N44" i="532"/>
  <c r="M2" i="532"/>
  <c r="M44" i="532"/>
  <c r="L2" i="532"/>
  <c r="L44" i="532"/>
  <c r="K2" i="532"/>
  <c r="K44" i="532"/>
  <c r="J2" i="532"/>
  <c r="J44" i="532"/>
  <c r="I2" i="532"/>
  <c r="I44" i="532"/>
  <c r="H2" i="532"/>
  <c r="H44" i="532"/>
  <c r="G2" i="532"/>
  <c r="G44" i="532"/>
  <c r="A44" i="532"/>
  <c r="R7" i="532"/>
  <c r="Q7" i="532"/>
  <c r="P7" i="532"/>
  <c r="O7" i="532"/>
  <c r="N7" i="532"/>
  <c r="M7" i="532"/>
  <c r="L7" i="532"/>
  <c r="K7" i="532"/>
  <c r="J7" i="532"/>
  <c r="I7" i="532"/>
  <c r="H7" i="532"/>
  <c r="H1" i="532"/>
  <c r="I1" i="532"/>
  <c r="J1" i="532"/>
  <c r="K1" i="532"/>
  <c r="L1" i="532"/>
  <c r="M1" i="532"/>
  <c r="N1" i="532"/>
  <c r="O1" i="532"/>
  <c r="P1" i="532"/>
  <c r="Q1" i="532"/>
  <c r="R1" i="532"/>
  <c r="B74" i="531"/>
  <c r="B75" i="531"/>
  <c r="B76" i="531"/>
  <c r="B77" i="531"/>
  <c r="B78" i="531"/>
  <c r="B79" i="531"/>
  <c r="B80" i="531"/>
  <c r="B81" i="531"/>
  <c r="B82" i="531"/>
  <c r="B83" i="531"/>
  <c r="B84" i="531"/>
  <c r="B85" i="531"/>
  <c r="B86" i="531"/>
  <c r="B87" i="531"/>
  <c r="B88" i="531"/>
  <c r="B89" i="531"/>
  <c r="B90" i="531"/>
  <c r="B91" i="531"/>
  <c r="B92" i="531"/>
  <c r="B93" i="531"/>
  <c r="B94" i="531"/>
  <c r="B95" i="531"/>
  <c r="B96" i="531"/>
  <c r="B97" i="531"/>
  <c r="B98" i="531"/>
  <c r="B99" i="531"/>
  <c r="B100" i="531"/>
  <c r="B101" i="531"/>
  <c r="B102" i="531"/>
  <c r="B103" i="531"/>
  <c r="B104" i="531"/>
  <c r="B105" i="531"/>
  <c r="D205" i="531"/>
  <c r="B173" i="531"/>
  <c r="B174" i="531"/>
  <c r="B175" i="531"/>
  <c r="B176" i="531"/>
  <c r="B177" i="531"/>
  <c r="B178" i="531"/>
  <c r="B179" i="531"/>
  <c r="B180" i="531"/>
  <c r="B181" i="531"/>
  <c r="B182" i="531"/>
  <c r="B183" i="531"/>
  <c r="B184" i="531"/>
  <c r="B185" i="531"/>
  <c r="B186" i="531"/>
  <c r="B187" i="531"/>
  <c r="B188" i="531"/>
  <c r="B189" i="531"/>
  <c r="B190" i="531"/>
  <c r="B191" i="531"/>
  <c r="B192" i="531"/>
  <c r="B193" i="531"/>
  <c r="B194" i="531"/>
  <c r="B195" i="531"/>
  <c r="B196" i="531"/>
  <c r="B197" i="531"/>
  <c r="B198" i="531"/>
  <c r="B199" i="531"/>
  <c r="B200" i="531"/>
  <c r="B201" i="531"/>
  <c r="B202" i="531"/>
  <c r="B203" i="531"/>
  <c r="B204" i="531"/>
  <c r="B205" i="531"/>
  <c r="D204" i="531"/>
  <c r="R203" i="531"/>
  <c r="Q203" i="531"/>
  <c r="P203" i="531"/>
  <c r="O203" i="531"/>
  <c r="N203" i="531"/>
  <c r="M203" i="531"/>
  <c r="L203" i="531"/>
  <c r="K203" i="531"/>
  <c r="J203" i="531"/>
  <c r="I203" i="531"/>
  <c r="H203" i="531"/>
  <c r="G203" i="531"/>
  <c r="D203" i="531"/>
  <c r="R202" i="531"/>
  <c r="Q202" i="531"/>
  <c r="P202" i="531"/>
  <c r="O202" i="531"/>
  <c r="N202" i="531"/>
  <c r="M202" i="531"/>
  <c r="L202" i="531"/>
  <c r="K202" i="531"/>
  <c r="J202" i="531"/>
  <c r="I202" i="531"/>
  <c r="H202" i="531"/>
  <c r="G202" i="531"/>
  <c r="D202" i="531"/>
  <c r="D201" i="531"/>
  <c r="D200" i="531"/>
  <c r="D199" i="531"/>
  <c r="D198" i="531"/>
  <c r="D197" i="531"/>
  <c r="D196" i="531"/>
  <c r="H26" i="531"/>
  <c r="I26" i="531"/>
  <c r="J26" i="531"/>
  <c r="K26" i="531"/>
  <c r="L26" i="531"/>
  <c r="M26" i="531"/>
  <c r="N26" i="531"/>
  <c r="O26" i="531"/>
  <c r="P26" i="531"/>
  <c r="Q26" i="531"/>
  <c r="R26" i="531"/>
  <c r="D195" i="531"/>
  <c r="D194" i="531"/>
  <c r="D193" i="531"/>
  <c r="R7" i="531"/>
  <c r="R64" i="531"/>
  <c r="R102" i="531"/>
  <c r="R90" i="531"/>
  <c r="R91" i="531"/>
  <c r="Q7" i="531"/>
  <c r="Q64" i="531"/>
  <c r="Q102" i="531"/>
  <c r="Q90" i="531"/>
  <c r="Q91" i="531"/>
  <c r="P7" i="531"/>
  <c r="P64" i="531"/>
  <c r="P102" i="531"/>
  <c r="P90" i="531"/>
  <c r="P91" i="531"/>
  <c r="O7" i="531"/>
  <c r="O64" i="531"/>
  <c r="O102" i="531"/>
  <c r="O90" i="531"/>
  <c r="O91" i="531"/>
  <c r="N7" i="531"/>
  <c r="N64" i="531"/>
  <c r="N102" i="531"/>
  <c r="N90" i="531"/>
  <c r="N91" i="531"/>
  <c r="M7" i="531"/>
  <c r="M64" i="531"/>
  <c r="M102" i="531"/>
  <c r="M90" i="531"/>
  <c r="M91" i="531"/>
  <c r="L7" i="531"/>
  <c r="L64" i="531"/>
  <c r="L102" i="531"/>
  <c r="L90" i="531"/>
  <c r="L91" i="531"/>
  <c r="K7" i="531"/>
  <c r="K64" i="531"/>
  <c r="K102" i="531"/>
  <c r="K90" i="531"/>
  <c r="K91" i="531"/>
  <c r="J7" i="531"/>
  <c r="J64" i="531"/>
  <c r="J102" i="531"/>
  <c r="J90" i="531"/>
  <c r="J91" i="531"/>
  <c r="I7" i="531"/>
  <c r="I64" i="531"/>
  <c r="I102" i="531"/>
  <c r="I90" i="531"/>
  <c r="I91" i="531"/>
  <c r="H7" i="531"/>
  <c r="H64" i="531"/>
  <c r="H102" i="531"/>
  <c r="H90" i="531"/>
  <c r="H91" i="531"/>
  <c r="G102" i="531"/>
  <c r="G90" i="531"/>
  <c r="G91" i="531"/>
  <c r="D192" i="531"/>
  <c r="D191" i="531"/>
  <c r="D190" i="531"/>
  <c r="D189" i="531"/>
  <c r="R188" i="531"/>
  <c r="Q188" i="531"/>
  <c r="P188" i="531"/>
  <c r="O188" i="531"/>
  <c r="N188" i="531"/>
  <c r="M188" i="531"/>
  <c r="L188" i="531"/>
  <c r="K188" i="531"/>
  <c r="J188" i="531"/>
  <c r="I188" i="531"/>
  <c r="H188" i="531"/>
  <c r="G188" i="531"/>
  <c r="D188" i="531"/>
  <c r="R187" i="531"/>
  <c r="Q187" i="531"/>
  <c r="P187" i="531"/>
  <c r="O187" i="531"/>
  <c r="N187" i="531"/>
  <c r="M187" i="531"/>
  <c r="L187" i="531"/>
  <c r="K187" i="531"/>
  <c r="J187" i="531"/>
  <c r="I187" i="531"/>
  <c r="H187" i="531"/>
  <c r="G187" i="531"/>
  <c r="D187" i="531"/>
  <c r="D186" i="531"/>
  <c r="R185" i="531"/>
  <c r="Q185" i="531"/>
  <c r="P185" i="531"/>
  <c r="O185" i="531"/>
  <c r="N185" i="531"/>
  <c r="M185" i="531"/>
  <c r="L185" i="531"/>
  <c r="K185" i="531"/>
  <c r="J185" i="531"/>
  <c r="I185" i="531"/>
  <c r="H185" i="531"/>
  <c r="G185" i="531"/>
  <c r="D185" i="531"/>
  <c r="R184" i="531"/>
  <c r="Q184" i="531"/>
  <c r="P184" i="531"/>
  <c r="O184" i="531"/>
  <c r="N184" i="531"/>
  <c r="M184" i="531"/>
  <c r="L184" i="531"/>
  <c r="K184" i="531"/>
  <c r="J184" i="531"/>
  <c r="I184" i="531"/>
  <c r="H184" i="531"/>
  <c r="G184" i="531"/>
  <c r="D184" i="531"/>
  <c r="R183" i="531"/>
  <c r="Q183" i="531"/>
  <c r="P183" i="531"/>
  <c r="O183" i="531"/>
  <c r="N183" i="531"/>
  <c r="M183" i="531"/>
  <c r="L183" i="531"/>
  <c r="K183" i="531"/>
  <c r="J183" i="531"/>
  <c r="I183" i="531"/>
  <c r="H183" i="531"/>
  <c r="G183" i="531"/>
  <c r="D183" i="531"/>
  <c r="R182" i="531"/>
  <c r="Q182" i="531"/>
  <c r="P182" i="531"/>
  <c r="O182" i="531"/>
  <c r="N182" i="531"/>
  <c r="M182" i="531"/>
  <c r="L182" i="531"/>
  <c r="K182" i="531"/>
  <c r="J182" i="531"/>
  <c r="I182" i="531"/>
  <c r="H182" i="531"/>
  <c r="G182" i="531"/>
  <c r="D182" i="531"/>
  <c r="R181" i="531"/>
  <c r="Q181" i="531"/>
  <c r="P181" i="531"/>
  <c r="O181" i="531"/>
  <c r="N181" i="531"/>
  <c r="M181" i="531"/>
  <c r="L181" i="531"/>
  <c r="K181" i="531"/>
  <c r="J181" i="531"/>
  <c r="I181" i="531"/>
  <c r="H181" i="531"/>
  <c r="G181" i="531"/>
  <c r="D181" i="531"/>
  <c r="R180" i="531"/>
  <c r="Q180" i="531"/>
  <c r="P180" i="531"/>
  <c r="O180" i="531"/>
  <c r="N180" i="531"/>
  <c r="M180" i="531"/>
  <c r="L180" i="531"/>
  <c r="K180" i="531"/>
  <c r="J180" i="531"/>
  <c r="I180" i="531"/>
  <c r="H180" i="531"/>
  <c r="G180" i="531"/>
  <c r="D180" i="531"/>
  <c r="R179" i="531"/>
  <c r="Q179" i="531"/>
  <c r="P179" i="531"/>
  <c r="O179" i="531"/>
  <c r="N179" i="531"/>
  <c r="M179" i="531"/>
  <c r="L179" i="531"/>
  <c r="K179" i="531"/>
  <c r="J179" i="531"/>
  <c r="I179" i="531"/>
  <c r="H179" i="531"/>
  <c r="G179" i="531"/>
  <c r="D179" i="531"/>
  <c r="R178" i="531"/>
  <c r="Q178" i="531"/>
  <c r="P178" i="531"/>
  <c r="O178" i="531"/>
  <c r="N178" i="531"/>
  <c r="M178" i="531"/>
  <c r="L178" i="531"/>
  <c r="K178" i="531"/>
  <c r="J178" i="531"/>
  <c r="I178" i="531"/>
  <c r="H178" i="531"/>
  <c r="G178" i="531"/>
  <c r="D178" i="531"/>
  <c r="R177" i="531"/>
  <c r="Q177" i="531"/>
  <c r="P177" i="531"/>
  <c r="O177" i="531"/>
  <c r="N177" i="531"/>
  <c r="M177" i="531"/>
  <c r="L177" i="531"/>
  <c r="K177" i="531"/>
  <c r="J177" i="531"/>
  <c r="I177" i="531"/>
  <c r="H177" i="531"/>
  <c r="G177" i="531"/>
  <c r="D177" i="531"/>
  <c r="R176" i="531"/>
  <c r="Q176" i="531"/>
  <c r="P176" i="531"/>
  <c r="O176" i="531"/>
  <c r="N176" i="531"/>
  <c r="M176" i="531"/>
  <c r="L176" i="531"/>
  <c r="K176" i="531"/>
  <c r="J176" i="531"/>
  <c r="I176" i="531"/>
  <c r="H176" i="531"/>
  <c r="G176" i="531"/>
  <c r="D176" i="531"/>
  <c r="R175" i="531"/>
  <c r="Q175" i="531"/>
  <c r="P175" i="531"/>
  <c r="O175" i="531"/>
  <c r="N175" i="531"/>
  <c r="M175" i="531"/>
  <c r="L175" i="531"/>
  <c r="K175" i="531"/>
  <c r="J175" i="531"/>
  <c r="I175" i="531"/>
  <c r="H175" i="531"/>
  <c r="G175" i="531"/>
  <c r="D175" i="531"/>
  <c r="R174" i="531"/>
  <c r="Q174" i="531"/>
  <c r="P174" i="531"/>
  <c r="O174" i="531"/>
  <c r="N174" i="531"/>
  <c r="M174" i="531"/>
  <c r="L174" i="531"/>
  <c r="K174" i="531"/>
  <c r="J174" i="531"/>
  <c r="I174" i="531"/>
  <c r="H174" i="531"/>
  <c r="G174" i="531"/>
  <c r="D174" i="531"/>
  <c r="D173" i="531"/>
  <c r="G64" i="531"/>
  <c r="R172" i="531"/>
  <c r="Q172" i="531"/>
  <c r="P172" i="531"/>
  <c r="O172" i="531"/>
  <c r="N172" i="531"/>
  <c r="M172" i="531"/>
  <c r="L172" i="531"/>
  <c r="K172" i="531"/>
  <c r="J172" i="531"/>
  <c r="I172" i="531"/>
  <c r="H172" i="531"/>
  <c r="G172" i="531"/>
  <c r="R170" i="531"/>
  <c r="Q170" i="531"/>
  <c r="P170" i="531"/>
  <c r="O170" i="531"/>
  <c r="N170" i="531"/>
  <c r="M170" i="531"/>
  <c r="L170" i="531"/>
  <c r="K170" i="531"/>
  <c r="J170" i="531"/>
  <c r="I170" i="531"/>
  <c r="H170" i="531"/>
  <c r="G170" i="531"/>
  <c r="D170" i="531"/>
  <c r="R169" i="531"/>
  <c r="Q169" i="531"/>
  <c r="P169" i="531"/>
  <c r="O169" i="531"/>
  <c r="N169" i="531"/>
  <c r="M169" i="531"/>
  <c r="L169" i="531"/>
  <c r="K169" i="531"/>
  <c r="J169" i="531"/>
  <c r="I169" i="531"/>
  <c r="H169" i="531"/>
  <c r="G169" i="531"/>
  <c r="D169" i="531"/>
  <c r="R168" i="531"/>
  <c r="Q168" i="531"/>
  <c r="P168" i="531"/>
  <c r="O168" i="531"/>
  <c r="N168" i="531"/>
  <c r="M168" i="531"/>
  <c r="L168" i="531"/>
  <c r="K168" i="531"/>
  <c r="J168" i="531"/>
  <c r="I168" i="531"/>
  <c r="H168" i="531"/>
  <c r="G168" i="531"/>
  <c r="D168" i="531"/>
  <c r="D167" i="531"/>
  <c r="R166" i="531"/>
  <c r="Q166" i="531"/>
  <c r="P166" i="531"/>
  <c r="O166" i="531"/>
  <c r="N166" i="531"/>
  <c r="M166" i="531"/>
  <c r="L166" i="531"/>
  <c r="K166" i="531"/>
  <c r="J166" i="531"/>
  <c r="I166" i="531"/>
  <c r="H166" i="531"/>
  <c r="G166" i="531"/>
  <c r="D166" i="531"/>
  <c r="R165" i="531"/>
  <c r="Q165" i="531"/>
  <c r="P165" i="531"/>
  <c r="O165" i="531"/>
  <c r="N165" i="531"/>
  <c r="M165" i="531"/>
  <c r="L165" i="531"/>
  <c r="K165" i="531"/>
  <c r="J165" i="531"/>
  <c r="I165" i="531"/>
  <c r="H165" i="531"/>
  <c r="G165" i="531"/>
  <c r="D165" i="531"/>
  <c r="R164" i="531"/>
  <c r="Q164" i="531"/>
  <c r="P164" i="531"/>
  <c r="O164" i="531"/>
  <c r="N164" i="531"/>
  <c r="M164" i="531"/>
  <c r="L164" i="531"/>
  <c r="K164" i="531"/>
  <c r="J164" i="531"/>
  <c r="I164" i="531"/>
  <c r="H164" i="531"/>
  <c r="G164" i="531"/>
  <c r="D164" i="531"/>
  <c r="R163" i="531"/>
  <c r="Q163" i="531"/>
  <c r="P163" i="531"/>
  <c r="O163" i="531"/>
  <c r="N163" i="531"/>
  <c r="M163" i="531"/>
  <c r="L163" i="531"/>
  <c r="K163" i="531"/>
  <c r="J163" i="531"/>
  <c r="I163" i="531"/>
  <c r="H163" i="531"/>
  <c r="G163" i="531"/>
  <c r="D163" i="531"/>
  <c r="D162" i="531"/>
  <c r="R161" i="531"/>
  <c r="Q161" i="531"/>
  <c r="P161" i="531"/>
  <c r="O161" i="531"/>
  <c r="N161" i="531"/>
  <c r="M161" i="531"/>
  <c r="L161" i="531"/>
  <c r="K161" i="531"/>
  <c r="J161" i="531"/>
  <c r="I161" i="531"/>
  <c r="H161" i="531"/>
  <c r="G161" i="531"/>
  <c r="D161" i="531"/>
  <c r="R160" i="531"/>
  <c r="Q160" i="531"/>
  <c r="P160" i="531"/>
  <c r="O160" i="531"/>
  <c r="N160" i="531"/>
  <c r="M160" i="531"/>
  <c r="L160" i="531"/>
  <c r="K160" i="531"/>
  <c r="J160" i="531"/>
  <c r="I160" i="531"/>
  <c r="H160" i="531"/>
  <c r="G160" i="531"/>
  <c r="D160" i="531"/>
  <c r="R159" i="531"/>
  <c r="Q159" i="531"/>
  <c r="P159" i="531"/>
  <c r="O159" i="531"/>
  <c r="N159" i="531"/>
  <c r="M159" i="531"/>
  <c r="L159" i="531"/>
  <c r="K159" i="531"/>
  <c r="J159" i="531"/>
  <c r="I159" i="531"/>
  <c r="H159" i="531"/>
  <c r="G159" i="531"/>
  <c r="D159" i="531"/>
  <c r="R158" i="531"/>
  <c r="Q158" i="531"/>
  <c r="P158" i="531"/>
  <c r="O158" i="531"/>
  <c r="N158" i="531"/>
  <c r="M158" i="531"/>
  <c r="L158" i="531"/>
  <c r="K158" i="531"/>
  <c r="J158" i="531"/>
  <c r="I158" i="531"/>
  <c r="H158" i="531"/>
  <c r="G158" i="531"/>
  <c r="D158" i="531"/>
  <c r="R157" i="531"/>
  <c r="Q157" i="531"/>
  <c r="P157" i="531"/>
  <c r="O157" i="531"/>
  <c r="N157" i="531"/>
  <c r="M157" i="531"/>
  <c r="L157" i="531"/>
  <c r="K157" i="531"/>
  <c r="J157" i="531"/>
  <c r="I157" i="531"/>
  <c r="H157" i="531"/>
  <c r="G157" i="531"/>
  <c r="D157" i="531"/>
  <c r="R156" i="531"/>
  <c r="Q156" i="531"/>
  <c r="P156" i="531"/>
  <c r="O156" i="531"/>
  <c r="N156" i="531"/>
  <c r="M156" i="531"/>
  <c r="L156" i="531"/>
  <c r="K156" i="531"/>
  <c r="J156" i="531"/>
  <c r="I156" i="531"/>
  <c r="H156" i="531"/>
  <c r="G156" i="531"/>
  <c r="D156" i="531"/>
  <c r="R155" i="531"/>
  <c r="Q155" i="531"/>
  <c r="P155" i="531"/>
  <c r="O155" i="531"/>
  <c r="N155" i="531"/>
  <c r="M155" i="531"/>
  <c r="L155" i="531"/>
  <c r="K155" i="531"/>
  <c r="J155" i="531"/>
  <c r="I155" i="531"/>
  <c r="H155" i="531"/>
  <c r="G155" i="531"/>
  <c r="D155" i="531"/>
  <c r="R154" i="531"/>
  <c r="Q154" i="531"/>
  <c r="P154" i="531"/>
  <c r="O154" i="531"/>
  <c r="N154" i="531"/>
  <c r="M154" i="531"/>
  <c r="L154" i="531"/>
  <c r="K154" i="531"/>
  <c r="J154" i="531"/>
  <c r="I154" i="531"/>
  <c r="H154" i="531"/>
  <c r="G154" i="531"/>
  <c r="D154" i="531"/>
  <c r="R153" i="531"/>
  <c r="Q153" i="531"/>
  <c r="P153" i="531"/>
  <c r="O153" i="531"/>
  <c r="N153" i="531"/>
  <c r="M153" i="531"/>
  <c r="L153" i="531"/>
  <c r="K153" i="531"/>
  <c r="J153" i="531"/>
  <c r="I153" i="531"/>
  <c r="H153" i="531"/>
  <c r="G153" i="531"/>
  <c r="D153" i="531"/>
  <c r="R152" i="531"/>
  <c r="Q152" i="531"/>
  <c r="P152" i="531"/>
  <c r="O152" i="531"/>
  <c r="N152" i="531"/>
  <c r="M152" i="531"/>
  <c r="L152" i="531"/>
  <c r="K152" i="531"/>
  <c r="J152" i="531"/>
  <c r="I152" i="531"/>
  <c r="H152" i="531"/>
  <c r="G152" i="531"/>
  <c r="D152" i="531"/>
  <c r="R151" i="531"/>
  <c r="Q151" i="531"/>
  <c r="P151" i="531"/>
  <c r="O151" i="531"/>
  <c r="N151" i="531"/>
  <c r="M151" i="531"/>
  <c r="L151" i="531"/>
  <c r="K151" i="531"/>
  <c r="J151" i="531"/>
  <c r="I151" i="531"/>
  <c r="H151" i="531"/>
  <c r="G151" i="531"/>
  <c r="D151" i="531"/>
  <c r="G150" i="531"/>
  <c r="D150" i="531"/>
  <c r="G149" i="531"/>
  <c r="D149" i="531"/>
  <c r="G148" i="531"/>
  <c r="D148" i="531"/>
  <c r="N142" i="531"/>
  <c r="N143" i="531"/>
  <c r="M142" i="531"/>
  <c r="M143" i="531"/>
  <c r="L142" i="531"/>
  <c r="L143" i="531"/>
  <c r="K142" i="531"/>
  <c r="K143" i="531"/>
  <c r="J142" i="531"/>
  <c r="J143" i="531"/>
  <c r="I142" i="531"/>
  <c r="I143" i="531"/>
  <c r="H142" i="531"/>
  <c r="H143" i="531"/>
  <c r="G142" i="531"/>
  <c r="G143" i="531"/>
  <c r="G147" i="531"/>
  <c r="D147" i="531"/>
  <c r="G146" i="531"/>
  <c r="D146" i="531"/>
  <c r="R145" i="531"/>
  <c r="Q145" i="531"/>
  <c r="P145" i="531"/>
  <c r="O145" i="531"/>
  <c r="N145" i="531"/>
  <c r="M145" i="531"/>
  <c r="L145" i="531"/>
  <c r="K145" i="531"/>
  <c r="J145" i="531"/>
  <c r="I145" i="531"/>
  <c r="H145" i="531"/>
  <c r="G145" i="531"/>
  <c r="D145" i="531"/>
  <c r="R143" i="531"/>
  <c r="Q143" i="531"/>
  <c r="P143" i="531"/>
  <c r="O143" i="531"/>
  <c r="R142" i="531"/>
  <c r="Q142" i="531"/>
  <c r="P142" i="531"/>
  <c r="O142" i="531"/>
  <c r="D77" i="531"/>
  <c r="D78" i="531"/>
  <c r="D79" i="531"/>
  <c r="D80" i="531"/>
  <c r="D81" i="531"/>
  <c r="D82" i="531"/>
  <c r="R109" i="531"/>
  <c r="R141" i="531"/>
  <c r="Q109" i="531"/>
  <c r="Q141" i="531"/>
  <c r="P109" i="531"/>
  <c r="P141" i="531"/>
  <c r="O109" i="531"/>
  <c r="O141" i="531"/>
  <c r="N109" i="531"/>
  <c r="N141" i="531"/>
  <c r="M109" i="531"/>
  <c r="M141" i="531"/>
  <c r="L109" i="531"/>
  <c r="L141" i="531"/>
  <c r="K109" i="531"/>
  <c r="K141" i="531"/>
  <c r="J109" i="531"/>
  <c r="J141" i="531"/>
  <c r="I109" i="531"/>
  <c r="I141" i="531"/>
  <c r="H109" i="531"/>
  <c r="H141" i="531"/>
  <c r="G109" i="531"/>
  <c r="G141" i="531"/>
  <c r="R139" i="531"/>
  <c r="Q139" i="531"/>
  <c r="P139" i="531"/>
  <c r="O139" i="531"/>
  <c r="N139" i="531"/>
  <c r="M139" i="531"/>
  <c r="L139" i="531"/>
  <c r="K139" i="531"/>
  <c r="J139" i="531"/>
  <c r="I139" i="531"/>
  <c r="H139" i="531"/>
  <c r="G139" i="531"/>
  <c r="G121" i="531"/>
  <c r="G122" i="531"/>
  <c r="G123" i="531"/>
  <c r="I123" i="531"/>
  <c r="I124" i="531"/>
  <c r="H123" i="531"/>
  <c r="H124" i="531"/>
  <c r="G124" i="531"/>
  <c r="I122" i="531"/>
  <c r="B106" i="531"/>
  <c r="B107" i="531"/>
  <c r="B108" i="531"/>
  <c r="B109" i="531"/>
  <c r="B110" i="531"/>
  <c r="B111" i="531"/>
  <c r="B112" i="531"/>
  <c r="B113" i="531"/>
  <c r="S107" i="531"/>
  <c r="S106" i="531"/>
  <c r="G65" i="531"/>
  <c r="G66" i="531"/>
  <c r="G67" i="531"/>
  <c r="G73" i="531"/>
  <c r="G92" i="531"/>
  <c r="G93" i="531"/>
  <c r="G94" i="531"/>
  <c r="G95" i="531"/>
  <c r="G104" i="531"/>
  <c r="G105" i="531"/>
  <c r="H65" i="531"/>
  <c r="H66" i="531"/>
  <c r="H67" i="531"/>
  <c r="H73" i="531"/>
  <c r="H92" i="531"/>
  <c r="H93" i="531"/>
  <c r="H27" i="531"/>
  <c r="H94" i="531"/>
  <c r="H95" i="531"/>
  <c r="H104" i="531"/>
  <c r="H105" i="531"/>
  <c r="I65" i="531"/>
  <c r="I66" i="531"/>
  <c r="I67" i="531"/>
  <c r="I73" i="531"/>
  <c r="I92" i="531"/>
  <c r="I93" i="531"/>
  <c r="I27" i="531"/>
  <c r="I94" i="531"/>
  <c r="I95" i="531"/>
  <c r="I104" i="531"/>
  <c r="I105" i="531"/>
  <c r="J65" i="531"/>
  <c r="J66" i="531"/>
  <c r="J67" i="531"/>
  <c r="J73" i="531"/>
  <c r="J92" i="531"/>
  <c r="J93" i="531"/>
  <c r="J27" i="531"/>
  <c r="J94" i="531"/>
  <c r="J95" i="531"/>
  <c r="J104" i="531"/>
  <c r="J105" i="531"/>
  <c r="K65" i="531"/>
  <c r="K66" i="531"/>
  <c r="K67" i="531"/>
  <c r="K73" i="531"/>
  <c r="K92" i="531"/>
  <c r="K93" i="531"/>
  <c r="K27" i="531"/>
  <c r="K94" i="531"/>
  <c r="K95" i="531"/>
  <c r="K104" i="531"/>
  <c r="K105" i="531"/>
  <c r="L65" i="531"/>
  <c r="L66" i="531"/>
  <c r="L67" i="531"/>
  <c r="L73" i="531"/>
  <c r="L92" i="531"/>
  <c r="L93" i="531"/>
  <c r="L27" i="531"/>
  <c r="L94" i="531"/>
  <c r="L95" i="531"/>
  <c r="L104" i="531"/>
  <c r="L105" i="531"/>
  <c r="M65" i="531"/>
  <c r="M66" i="531"/>
  <c r="M67" i="531"/>
  <c r="M73" i="531"/>
  <c r="M92" i="531"/>
  <c r="M93" i="531"/>
  <c r="M27" i="531"/>
  <c r="M94" i="531"/>
  <c r="M95" i="531"/>
  <c r="M104" i="531"/>
  <c r="M105" i="531"/>
  <c r="N65" i="531"/>
  <c r="N66" i="531"/>
  <c r="N67" i="531"/>
  <c r="N73" i="531"/>
  <c r="N92" i="531"/>
  <c r="N93" i="531"/>
  <c r="N27" i="531"/>
  <c r="N94" i="531"/>
  <c r="N95" i="531"/>
  <c r="N104" i="531"/>
  <c r="N105" i="531"/>
  <c r="O65" i="531"/>
  <c r="O66" i="531"/>
  <c r="O67" i="531"/>
  <c r="O73" i="531"/>
  <c r="O92" i="531"/>
  <c r="O93" i="531"/>
  <c r="O27" i="531"/>
  <c r="O94" i="531"/>
  <c r="O95" i="531"/>
  <c r="O104" i="531"/>
  <c r="O105" i="531"/>
  <c r="P65" i="531"/>
  <c r="P66" i="531"/>
  <c r="P67" i="531"/>
  <c r="P73" i="531"/>
  <c r="P92" i="531"/>
  <c r="P93" i="531"/>
  <c r="P27" i="531"/>
  <c r="P94" i="531"/>
  <c r="P95" i="531"/>
  <c r="P104" i="531"/>
  <c r="P105" i="531"/>
  <c r="Q65" i="531"/>
  <c r="Q66" i="531"/>
  <c r="Q67" i="531"/>
  <c r="Q73" i="531"/>
  <c r="Q92" i="531"/>
  <c r="Q93" i="531"/>
  <c r="Q27" i="531"/>
  <c r="Q94" i="531"/>
  <c r="Q95" i="531"/>
  <c r="Q104" i="531"/>
  <c r="Q105" i="531"/>
  <c r="R65" i="531"/>
  <c r="R66" i="531"/>
  <c r="R67" i="531"/>
  <c r="R73" i="531"/>
  <c r="R92" i="531"/>
  <c r="R93" i="531"/>
  <c r="R27" i="531"/>
  <c r="R94" i="531"/>
  <c r="R95" i="531"/>
  <c r="R104" i="531"/>
  <c r="R105" i="531"/>
  <c r="S105" i="531"/>
  <c r="S104" i="531"/>
  <c r="G103" i="531"/>
  <c r="H103" i="531"/>
  <c r="I103" i="531"/>
  <c r="J103" i="531"/>
  <c r="K103" i="531"/>
  <c r="L103" i="531"/>
  <c r="M103" i="531"/>
  <c r="N103" i="531"/>
  <c r="O103" i="531"/>
  <c r="P103" i="531"/>
  <c r="Q103" i="531"/>
  <c r="R103" i="531"/>
  <c r="S103" i="531"/>
  <c r="S102" i="531"/>
  <c r="G98" i="531"/>
  <c r="G99" i="531"/>
  <c r="G101" i="531"/>
  <c r="H98" i="531"/>
  <c r="H99" i="531"/>
  <c r="H101" i="531"/>
  <c r="I98" i="531"/>
  <c r="I99" i="531"/>
  <c r="I101" i="531"/>
  <c r="J98" i="531"/>
  <c r="J99" i="531"/>
  <c r="J101" i="531"/>
  <c r="K98" i="531"/>
  <c r="K99" i="531"/>
  <c r="K101" i="531"/>
  <c r="L98" i="531"/>
  <c r="L99" i="531"/>
  <c r="L101" i="531"/>
  <c r="M98" i="531"/>
  <c r="M99" i="531"/>
  <c r="M101" i="531"/>
  <c r="N98" i="531"/>
  <c r="N99" i="531"/>
  <c r="N101" i="531"/>
  <c r="O98" i="531"/>
  <c r="O99" i="531"/>
  <c r="O101" i="531"/>
  <c r="P98" i="531"/>
  <c r="P99" i="531"/>
  <c r="P101" i="531"/>
  <c r="Q98" i="531"/>
  <c r="Q99" i="531"/>
  <c r="Q101" i="531"/>
  <c r="R98" i="531"/>
  <c r="R99" i="531"/>
  <c r="R101" i="531"/>
  <c r="S101" i="531"/>
  <c r="G100" i="531"/>
  <c r="H100" i="531"/>
  <c r="I100" i="531"/>
  <c r="J100" i="531"/>
  <c r="K100" i="531"/>
  <c r="L100" i="531"/>
  <c r="M100" i="531"/>
  <c r="N100" i="531"/>
  <c r="O100" i="531"/>
  <c r="P100" i="531"/>
  <c r="Q100" i="531"/>
  <c r="R100" i="531"/>
  <c r="S100" i="531"/>
  <c r="S99" i="531"/>
  <c r="S98" i="531"/>
  <c r="S97" i="531"/>
  <c r="S95" i="531"/>
  <c r="S93" i="531"/>
  <c r="S92" i="531"/>
  <c r="S91" i="531"/>
  <c r="S90" i="531"/>
  <c r="S89" i="531"/>
  <c r="S88" i="531"/>
  <c r="S87" i="531"/>
  <c r="S86" i="531"/>
  <c r="S85" i="531"/>
  <c r="S84" i="531"/>
  <c r="S83" i="531"/>
  <c r="S82" i="531"/>
  <c r="S81" i="531"/>
  <c r="S80" i="531"/>
  <c r="S79" i="531"/>
  <c r="S78" i="531"/>
  <c r="S77" i="531"/>
  <c r="S76" i="531"/>
  <c r="S75" i="531"/>
  <c r="S74" i="531"/>
  <c r="S73" i="531"/>
  <c r="S72" i="531"/>
  <c r="S70" i="531"/>
  <c r="S69" i="531"/>
  <c r="S68" i="531"/>
  <c r="S67" i="531"/>
  <c r="S66" i="531"/>
  <c r="S65" i="531"/>
  <c r="S64" i="531"/>
  <c r="S63" i="531"/>
  <c r="S62" i="531"/>
  <c r="S61" i="531"/>
  <c r="S60" i="531"/>
  <c r="S59" i="531"/>
  <c r="S58" i="531"/>
  <c r="S57" i="531"/>
  <c r="S56" i="531"/>
  <c r="S55" i="531"/>
  <c r="S54" i="531"/>
  <c r="E54" i="531"/>
  <c r="C54" i="531"/>
  <c r="S53" i="531"/>
  <c r="E53" i="531"/>
  <c r="C53" i="531"/>
  <c r="S52" i="531"/>
  <c r="E52" i="531"/>
  <c r="C52" i="531"/>
  <c r="S51" i="531"/>
  <c r="E51" i="531"/>
  <c r="C51" i="531"/>
  <c r="S50" i="531"/>
  <c r="E50" i="531"/>
  <c r="C50" i="531"/>
  <c r="S49" i="531"/>
  <c r="E49" i="531"/>
  <c r="C49" i="531"/>
  <c r="S48" i="531"/>
  <c r="S47" i="531"/>
  <c r="S46" i="531"/>
  <c r="S45" i="531"/>
  <c r="R2" i="531"/>
  <c r="R44" i="531"/>
  <c r="Q2" i="531"/>
  <c r="Q44" i="531"/>
  <c r="P2" i="531"/>
  <c r="P44" i="531"/>
  <c r="O2" i="531"/>
  <c r="O44" i="531"/>
  <c r="N2" i="531"/>
  <c r="N44" i="531"/>
  <c r="M2" i="531"/>
  <c r="M44" i="531"/>
  <c r="L2" i="531"/>
  <c r="L44" i="531"/>
  <c r="K2" i="531"/>
  <c r="K44" i="531"/>
  <c r="J2" i="531"/>
  <c r="J44" i="531"/>
  <c r="I2" i="531"/>
  <c r="I44" i="531"/>
  <c r="H2" i="531"/>
  <c r="H44" i="531"/>
  <c r="G2" i="531"/>
  <c r="G44" i="531"/>
  <c r="A44" i="531"/>
  <c r="H1" i="531"/>
  <c r="I1" i="531"/>
  <c r="J1" i="531"/>
  <c r="K1" i="531"/>
  <c r="L1" i="531"/>
  <c r="M1" i="531"/>
  <c r="N1" i="531"/>
  <c r="O1" i="531"/>
  <c r="P1" i="531"/>
  <c r="Q1" i="531"/>
  <c r="R1" i="531"/>
  <c r="J4" i="499"/>
  <c r="K4" i="499"/>
  <c r="L4" i="499"/>
  <c r="M4" i="499"/>
  <c r="N4" i="499"/>
  <c r="O4" i="499"/>
  <c r="P4" i="499"/>
  <c r="Q4" i="499"/>
  <c r="R4" i="499"/>
  <c r="S4" i="499"/>
  <c r="G4" i="499"/>
  <c r="H4" i="499"/>
  <c r="I4" i="499"/>
  <c r="G5" i="499"/>
  <c r="H5" i="499"/>
  <c r="I5" i="499"/>
  <c r="J5" i="499"/>
  <c r="K5" i="499"/>
  <c r="L5" i="499"/>
  <c r="M5" i="499"/>
  <c r="N5" i="499"/>
  <c r="O5" i="499"/>
  <c r="P5" i="499"/>
  <c r="Q5" i="499"/>
  <c r="R5" i="499"/>
  <c r="S5" i="499"/>
  <c r="G6" i="499"/>
  <c r="H6" i="499"/>
  <c r="I6" i="499"/>
  <c r="J6" i="499"/>
  <c r="K6" i="499"/>
  <c r="L6" i="499"/>
  <c r="M6" i="499"/>
  <c r="N6" i="499"/>
  <c r="O6" i="499"/>
  <c r="P6" i="499"/>
  <c r="Q6" i="499"/>
  <c r="R6" i="499"/>
  <c r="S6" i="499"/>
  <c r="G7" i="499"/>
  <c r="H7" i="499"/>
  <c r="I7" i="499"/>
  <c r="J7" i="499"/>
  <c r="K7" i="499"/>
  <c r="L7" i="499"/>
  <c r="M7" i="499"/>
  <c r="N7" i="499"/>
  <c r="O7" i="499"/>
  <c r="P7" i="499"/>
  <c r="Q7" i="499"/>
  <c r="R7" i="499"/>
  <c r="S7" i="499"/>
  <c r="G8" i="499"/>
  <c r="H8" i="499"/>
  <c r="I8" i="499"/>
  <c r="J8" i="499"/>
  <c r="K8" i="499"/>
  <c r="L8" i="499"/>
  <c r="M8" i="499"/>
  <c r="N8" i="499"/>
  <c r="O8" i="499"/>
  <c r="P8" i="499"/>
  <c r="Q8" i="499"/>
  <c r="R8" i="499"/>
  <c r="S8" i="499"/>
  <c r="G9" i="499"/>
  <c r="H9" i="499"/>
  <c r="I9" i="499"/>
  <c r="J9" i="499"/>
  <c r="K9" i="499"/>
  <c r="L9" i="499"/>
  <c r="M9" i="499"/>
  <c r="N9" i="499"/>
  <c r="O9" i="499"/>
  <c r="P9" i="499"/>
  <c r="Q9" i="499"/>
  <c r="R9" i="499"/>
  <c r="S9" i="499"/>
  <c r="G10" i="499"/>
  <c r="H10" i="499"/>
  <c r="I10" i="499"/>
  <c r="J10" i="499"/>
  <c r="K10" i="499"/>
  <c r="L10" i="499"/>
  <c r="M10" i="499"/>
  <c r="N10" i="499"/>
  <c r="O10" i="499"/>
  <c r="P10" i="499"/>
  <c r="Q10" i="499"/>
  <c r="R10" i="499"/>
  <c r="S10" i="499"/>
  <c r="G11" i="499"/>
  <c r="H11" i="499"/>
  <c r="I11" i="499"/>
  <c r="J11" i="499"/>
  <c r="K11" i="499"/>
  <c r="L11" i="499"/>
  <c r="M11" i="499"/>
  <c r="N11" i="499"/>
  <c r="O11" i="499"/>
  <c r="P11" i="499"/>
  <c r="Q11" i="499"/>
  <c r="R11" i="499"/>
  <c r="S11" i="499"/>
  <c r="F11" i="499"/>
  <c r="F10" i="499"/>
  <c r="F9" i="499"/>
  <c r="F8" i="499"/>
  <c r="F7" i="499"/>
  <c r="F6" i="499"/>
  <c r="F5" i="499"/>
  <c r="F4" i="499"/>
  <c r="E11" i="499"/>
  <c r="E10" i="499"/>
  <c r="E9" i="499"/>
  <c r="E8" i="499"/>
  <c r="E7" i="499"/>
  <c r="E6" i="499"/>
  <c r="E5" i="499"/>
  <c r="E4" i="499"/>
  <c r="J44" i="63"/>
  <c r="H172" i="270"/>
  <c r="I172" i="270"/>
  <c r="J172" i="270"/>
  <c r="K172" i="270"/>
  <c r="L172" i="270"/>
  <c r="M172" i="270"/>
  <c r="N172" i="270"/>
  <c r="O172" i="270"/>
  <c r="G172" i="270"/>
  <c r="H64" i="270"/>
  <c r="I64" i="270"/>
  <c r="J64" i="270"/>
  <c r="K64" i="270"/>
  <c r="Q172" i="270"/>
  <c r="R172" i="270"/>
  <c r="P172" i="270"/>
  <c r="S106" i="270"/>
  <c r="P64" i="270"/>
  <c r="Q64" i="270"/>
  <c r="R64" i="270"/>
  <c r="L64" i="270"/>
  <c r="M64" i="270"/>
  <c r="N64" i="270"/>
  <c r="O64" i="270"/>
  <c r="S107" i="270"/>
  <c r="P65" i="270"/>
  <c r="P66" i="270"/>
  <c r="P67" i="270"/>
  <c r="Q65" i="270"/>
  <c r="Q66" i="270"/>
  <c r="Q67" i="270"/>
  <c r="R65" i="270"/>
  <c r="R66" i="270"/>
  <c r="R67" i="270"/>
  <c r="H67" i="270"/>
  <c r="H65" i="270"/>
  <c r="H66" i="270"/>
  <c r="I67" i="270"/>
  <c r="I65" i="270"/>
  <c r="I66" i="270"/>
  <c r="J67" i="270"/>
  <c r="J65" i="270"/>
  <c r="J66" i="270"/>
  <c r="K67" i="270"/>
  <c r="K65" i="270"/>
  <c r="K66" i="270"/>
  <c r="L66" i="270"/>
  <c r="L67" i="270"/>
  <c r="L65" i="270"/>
  <c r="M67" i="270"/>
  <c r="M65" i="270"/>
  <c r="M66" i="270"/>
  <c r="N67" i="270"/>
  <c r="N65" i="270"/>
  <c r="N66" i="270"/>
  <c r="O65" i="270"/>
  <c r="O66" i="270"/>
  <c r="O67" i="270"/>
  <c r="S105" i="270"/>
  <c r="S104" i="270"/>
  <c r="S103" i="270"/>
  <c r="S102" i="270"/>
  <c r="S101" i="270"/>
  <c r="S100" i="270"/>
  <c r="S99" i="270"/>
  <c r="S98" i="270"/>
  <c r="S97" i="270"/>
  <c r="S95" i="270"/>
  <c r="I122" i="270"/>
  <c r="G121" i="270"/>
  <c r="G122" i="270"/>
  <c r="G123" i="270"/>
  <c r="I123" i="270"/>
  <c r="I124" i="270"/>
  <c r="H123" i="270"/>
  <c r="H124" i="270"/>
  <c r="G124" i="270"/>
  <c r="E44" i="235"/>
  <c r="E47" i="235"/>
  <c r="H174" i="270"/>
  <c r="I174" i="270"/>
  <c r="J174" i="270"/>
  <c r="K174" i="270"/>
  <c r="L174" i="270"/>
  <c r="M174" i="270"/>
  <c r="N174" i="270"/>
  <c r="O174" i="270"/>
  <c r="P174" i="270"/>
  <c r="Q174" i="270"/>
  <c r="R174" i="270"/>
  <c r="H175" i="270"/>
  <c r="I175" i="270"/>
  <c r="J175" i="270"/>
  <c r="K175" i="270"/>
  <c r="L175" i="270"/>
  <c r="M175" i="270"/>
  <c r="N175" i="270"/>
  <c r="O175" i="270"/>
  <c r="P175" i="270"/>
  <c r="Q175" i="270"/>
  <c r="R175" i="270"/>
  <c r="H176" i="270"/>
  <c r="I176" i="270"/>
  <c r="J176" i="270"/>
  <c r="K176" i="270"/>
  <c r="L176" i="270"/>
  <c r="M176" i="270"/>
  <c r="N176" i="270"/>
  <c r="O176" i="270"/>
  <c r="P176" i="270"/>
  <c r="Q176" i="270"/>
  <c r="R176" i="270"/>
  <c r="H177" i="270"/>
  <c r="I177" i="270"/>
  <c r="J177" i="270"/>
  <c r="K177" i="270"/>
  <c r="L177" i="270"/>
  <c r="M177" i="270"/>
  <c r="N177" i="270"/>
  <c r="O177" i="270"/>
  <c r="P177" i="270"/>
  <c r="Q177" i="270"/>
  <c r="R177" i="270"/>
  <c r="H178" i="270"/>
  <c r="I178" i="270"/>
  <c r="J178" i="270"/>
  <c r="K178" i="270"/>
  <c r="L178" i="270"/>
  <c r="M178" i="270"/>
  <c r="N178" i="270"/>
  <c r="O178" i="270"/>
  <c r="P178" i="270"/>
  <c r="Q178" i="270"/>
  <c r="R178" i="270"/>
  <c r="H179" i="270"/>
  <c r="I179" i="270"/>
  <c r="J179" i="270"/>
  <c r="K179" i="270"/>
  <c r="L179" i="270"/>
  <c r="M179" i="270"/>
  <c r="N179" i="270"/>
  <c r="O179" i="270"/>
  <c r="P179" i="270"/>
  <c r="Q179" i="270"/>
  <c r="R179" i="270"/>
  <c r="H180" i="270"/>
  <c r="I180" i="270"/>
  <c r="J180" i="270"/>
  <c r="K180" i="270"/>
  <c r="L180" i="270"/>
  <c r="M180" i="270"/>
  <c r="N180" i="270"/>
  <c r="O180" i="270"/>
  <c r="P180" i="270"/>
  <c r="Q180" i="270"/>
  <c r="R180" i="270"/>
  <c r="H181" i="270"/>
  <c r="I181" i="270"/>
  <c r="J181" i="270"/>
  <c r="K181" i="270"/>
  <c r="L181" i="270"/>
  <c r="M181" i="270"/>
  <c r="N181" i="270"/>
  <c r="O181" i="270"/>
  <c r="P181" i="270"/>
  <c r="Q181" i="270"/>
  <c r="R181" i="270"/>
  <c r="H182" i="270"/>
  <c r="I182" i="270"/>
  <c r="J182" i="270"/>
  <c r="K182" i="270"/>
  <c r="L182" i="270"/>
  <c r="M182" i="270"/>
  <c r="N182" i="270"/>
  <c r="O182" i="270"/>
  <c r="P182" i="270"/>
  <c r="Q182" i="270"/>
  <c r="R182" i="270"/>
  <c r="H183" i="270"/>
  <c r="I183" i="270"/>
  <c r="J183" i="270"/>
  <c r="K183" i="270"/>
  <c r="L183" i="270"/>
  <c r="M183" i="270"/>
  <c r="N183" i="270"/>
  <c r="O183" i="270"/>
  <c r="P183" i="270"/>
  <c r="Q183" i="270"/>
  <c r="R183" i="270"/>
  <c r="H184" i="270"/>
  <c r="I184" i="270"/>
  <c r="J184" i="270"/>
  <c r="K184" i="270"/>
  <c r="L184" i="270"/>
  <c r="M184" i="270"/>
  <c r="N184" i="270"/>
  <c r="O184" i="270"/>
  <c r="P184" i="270"/>
  <c r="Q184" i="270"/>
  <c r="R184" i="270"/>
  <c r="H185" i="270"/>
  <c r="I185" i="270"/>
  <c r="J185" i="270"/>
  <c r="K185" i="270"/>
  <c r="L185" i="270"/>
  <c r="M185" i="270"/>
  <c r="N185" i="270"/>
  <c r="O185" i="270"/>
  <c r="P185" i="270"/>
  <c r="Q185" i="270"/>
  <c r="R185" i="270"/>
  <c r="H187" i="270"/>
  <c r="I187" i="270"/>
  <c r="J187" i="270"/>
  <c r="K187" i="270"/>
  <c r="L187" i="270"/>
  <c r="M187" i="270"/>
  <c r="N187" i="270"/>
  <c r="O187" i="270"/>
  <c r="P187" i="270"/>
  <c r="Q187" i="270"/>
  <c r="R187" i="270"/>
  <c r="H188" i="270"/>
  <c r="I188" i="270"/>
  <c r="J188" i="270"/>
  <c r="K188" i="270"/>
  <c r="L188" i="270"/>
  <c r="M188" i="270"/>
  <c r="N188" i="270"/>
  <c r="O188" i="270"/>
  <c r="P188" i="270"/>
  <c r="Q188" i="270"/>
  <c r="R188" i="270"/>
  <c r="G188" i="270"/>
  <c r="G187" i="270"/>
  <c r="G185" i="270"/>
  <c r="G184" i="270"/>
  <c r="G183" i="270"/>
  <c r="G182" i="270"/>
  <c r="G181" i="270"/>
  <c r="G180" i="270"/>
  <c r="G179" i="270"/>
  <c r="G178" i="270"/>
  <c r="G177" i="270"/>
  <c r="G176" i="270"/>
  <c r="G175" i="270"/>
  <c r="G174" i="270"/>
  <c r="H139" i="270"/>
  <c r="I139" i="270"/>
  <c r="J139" i="270"/>
  <c r="K139" i="270"/>
  <c r="L139" i="270"/>
  <c r="M139" i="270"/>
  <c r="N139" i="270"/>
  <c r="O139" i="270"/>
  <c r="P139" i="270"/>
  <c r="Q139" i="270"/>
  <c r="R139" i="270"/>
  <c r="D77" i="270"/>
  <c r="D78" i="270"/>
  <c r="D79" i="270"/>
  <c r="D80" i="270"/>
  <c r="D81" i="270"/>
  <c r="D82" i="270"/>
  <c r="H109" i="270"/>
  <c r="H141" i="270"/>
  <c r="I109" i="270"/>
  <c r="I141" i="270"/>
  <c r="J109" i="270"/>
  <c r="J141" i="270"/>
  <c r="K109" i="270"/>
  <c r="K141" i="270"/>
  <c r="L109" i="270"/>
  <c r="L141" i="270"/>
  <c r="M109" i="270"/>
  <c r="M141" i="270"/>
  <c r="N109" i="270"/>
  <c r="N141" i="270"/>
  <c r="O109" i="270"/>
  <c r="O141" i="270"/>
  <c r="P109" i="270"/>
  <c r="P141" i="270"/>
  <c r="Q109" i="270"/>
  <c r="Q141" i="270"/>
  <c r="R109" i="270"/>
  <c r="R141" i="270"/>
  <c r="H142" i="270"/>
  <c r="I142" i="270"/>
  <c r="J142" i="270"/>
  <c r="K142" i="270"/>
  <c r="L142" i="270"/>
  <c r="M142" i="270"/>
  <c r="N142" i="270"/>
  <c r="O142" i="270"/>
  <c r="P142" i="270"/>
  <c r="Q142" i="270"/>
  <c r="R142" i="270"/>
  <c r="D9" i="497"/>
  <c r="D10" i="499"/>
  <c r="E53" i="235"/>
  <c r="C53" i="235"/>
  <c r="D10" i="235"/>
  <c r="C74" i="235"/>
  <c r="N164" i="270"/>
  <c r="O164" i="270"/>
  <c r="P164" i="270"/>
  <c r="Q164" i="270"/>
  <c r="R164" i="270"/>
  <c r="N165" i="270"/>
  <c r="O165" i="270"/>
  <c r="P165" i="270"/>
  <c r="Q165" i="270"/>
  <c r="R165" i="270"/>
  <c r="M165" i="270"/>
  <c r="M164" i="270"/>
  <c r="J6" i="497"/>
  <c r="G2" i="270"/>
  <c r="G44" i="270"/>
  <c r="C62" i="499"/>
  <c r="C61" i="499"/>
  <c r="D6" i="499"/>
  <c r="D9" i="499"/>
  <c r="D8" i="499"/>
  <c r="D7" i="499"/>
  <c r="D5" i="499"/>
  <c r="D11" i="499"/>
  <c r="D4" i="499"/>
  <c r="G203" i="270"/>
  <c r="G170" i="270"/>
  <c r="G169" i="270"/>
  <c r="G146" i="270"/>
  <c r="G145" i="270"/>
  <c r="P163" i="270"/>
  <c r="Q163" i="270"/>
  <c r="R163" i="270"/>
  <c r="O163" i="270"/>
  <c r="O166" i="270"/>
  <c r="P166" i="270"/>
  <c r="Q166" i="270"/>
  <c r="R166" i="270"/>
  <c r="O168" i="270"/>
  <c r="P168" i="270"/>
  <c r="Q168" i="270"/>
  <c r="R168" i="270"/>
  <c r="O169" i="270"/>
  <c r="P169" i="270"/>
  <c r="Q169" i="270"/>
  <c r="R169" i="270"/>
  <c r="O170" i="270"/>
  <c r="P170" i="270"/>
  <c r="Q170" i="270"/>
  <c r="R170" i="270"/>
  <c r="O202" i="270"/>
  <c r="P202" i="270"/>
  <c r="Q202" i="270"/>
  <c r="R202" i="270"/>
  <c r="O203" i="270"/>
  <c r="P203" i="270"/>
  <c r="Q203" i="270"/>
  <c r="R203" i="270"/>
  <c r="O151" i="270"/>
  <c r="P151" i="270"/>
  <c r="Q151" i="270"/>
  <c r="R151" i="270"/>
  <c r="O152" i="270"/>
  <c r="P152" i="270"/>
  <c r="Q152" i="270"/>
  <c r="R152" i="270"/>
  <c r="O153" i="270"/>
  <c r="P153" i="270"/>
  <c r="Q153" i="270"/>
  <c r="R153" i="270"/>
  <c r="O154" i="270"/>
  <c r="P154" i="270"/>
  <c r="Q154" i="270"/>
  <c r="R154" i="270"/>
  <c r="O155" i="270"/>
  <c r="P155" i="270"/>
  <c r="Q155" i="270"/>
  <c r="R155" i="270"/>
  <c r="O156" i="270"/>
  <c r="P156" i="270"/>
  <c r="Q156" i="270"/>
  <c r="R156" i="270"/>
  <c r="O157" i="270"/>
  <c r="P157" i="270"/>
  <c r="Q157" i="270"/>
  <c r="R157" i="270"/>
  <c r="O158" i="270"/>
  <c r="P158" i="270"/>
  <c r="Q158" i="270"/>
  <c r="R158" i="270"/>
  <c r="O159" i="270"/>
  <c r="P159" i="270"/>
  <c r="Q159" i="270"/>
  <c r="R159" i="270"/>
  <c r="O160" i="270"/>
  <c r="P160" i="270"/>
  <c r="Q160" i="270"/>
  <c r="R160" i="270"/>
  <c r="O161" i="270"/>
  <c r="P161" i="270"/>
  <c r="Q161" i="270"/>
  <c r="R161" i="270"/>
  <c r="H151" i="270"/>
  <c r="I151" i="270"/>
  <c r="J151" i="270"/>
  <c r="K151" i="270"/>
  <c r="L151" i="270"/>
  <c r="M151" i="270"/>
  <c r="N151" i="270"/>
  <c r="H152" i="270"/>
  <c r="I152" i="270"/>
  <c r="J152" i="270"/>
  <c r="K152" i="270"/>
  <c r="L152" i="270"/>
  <c r="M152" i="270"/>
  <c r="N152" i="270"/>
  <c r="H153" i="270"/>
  <c r="I153" i="270"/>
  <c r="J153" i="270"/>
  <c r="K153" i="270"/>
  <c r="L153" i="270"/>
  <c r="M153" i="270"/>
  <c r="N153" i="270"/>
  <c r="H154" i="270"/>
  <c r="I154" i="270"/>
  <c r="J154" i="270"/>
  <c r="K154" i="270"/>
  <c r="L154" i="270"/>
  <c r="M154" i="270"/>
  <c r="N154" i="270"/>
  <c r="H155" i="270"/>
  <c r="I155" i="270"/>
  <c r="J155" i="270"/>
  <c r="K155" i="270"/>
  <c r="L155" i="270"/>
  <c r="M155" i="270"/>
  <c r="N155" i="270"/>
  <c r="H156" i="270"/>
  <c r="I156" i="270"/>
  <c r="J156" i="270"/>
  <c r="K156" i="270"/>
  <c r="L156" i="270"/>
  <c r="M156" i="270"/>
  <c r="N156" i="270"/>
  <c r="H157" i="270"/>
  <c r="I157" i="270"/>
  <c r="J157" i="270"/>
  <c r="K157" i="270"/>
  <c r="L157" i="270"/>
  <c r="M157" i="270"/>
  <c r="N157" i="270"/>
  <c r="H158" i="270"/>
  <c r="I158" i="270"/>
  <c r="J158" i="270"/>
  <c r="K158" i="270"/>
  <c r="L158" i="270"/>
  <c r="M158" i="270"/>
  <c r="N158" i="270"/>
  <c r="H159" i="270"/>
  <c r="I159" i="270"/>
  <c r="J159" i="270"/>
  <c r="K159" i="270"/>
  <c r="L159" i="270"/>
  <c r="M159" i="270"/>
  <c r="N159" i="270"/>
  <c r="H160" i="270"/>
  <c r="I160" i="270"/>
  <c r="J160" i="270"/>
  <c r="K160" i="270"/>
  <c r="L160" i="270"/>
  <c r="M160" i="270"/>
  <c r="N160" i="270"/>
  <c r="H161" i="270"/>
  <c r="I161" i="270"/>
  <c r="J161" i="270"/>
  <c r="K161" i="270"/>
  <c r="L161" i="270"/>
  <c r="M161" i="270"/>
  <c r="N161" i="270"/>
  <c r="H163" i="270"/>
  <c r="I163" i="270"/>
  <c r="J163" i="270"/>
  <c r="K163" i="270"/>
  <c r="L163" i="270"/>
  <c r="M163" i="270"/>
  <c r="N163" i="270"/>
  <c r="H164" i="270"/>
  <c r="I164" i="270"/>
  <c r="J164" i="270"/>
  <c r="K164" i="270"/>
  <c r="L164" i="270"/>
  <c r="H165" i="270"/>
  <c r="I165" i="270"/>
  <c r="J165" i="270"/>
  <c r="K165" i="270"/>
  <c r="L165" i="270"/>
  <c r="H166" i="270"/>
  <c r="I166" i="270"/>
  <c r="J166" i="270"/>
  <c r="K166" i="270"/>
  <c r="L166" i="270"/>
  <c r="M166" i="270"/>
  <c r="N166" i="270"/>
  <c r="H168" i="270"/>
  <c r="I168" i="270"/>
  <c r="J168" i="270"/>
  <c r="K168" i="270"/>
  <c r="L168" i="270"/>
  <c r="M168" i="270"/>
  <c r="N168" i="270"/>
  <c r="H169" i="270"/>
  <c r="I169" i="270"/>
  <c r="J169" i="270"/>
  <c r="K169" i="270"/>
  <c r="L169" i="270"/>
  <c r="M169" i="270"/>
  <c r="N169" i="270"/>
  <c r="H170" i="270"/>
  <c r="I170" i="270"/>
  <c r="J170" i="270"/>
  <c r="K170" i="270"/>
  <c r="L170" i="270"/>
  <c r="M170" i="270"/>
  <c r="N170" i="270"/>
  <c r="H202" i="270"/>
  <c r="I202" i="270"/>
  <c r="J202" i="270"/>
  <c r="K202" i="270"/>
  <c r="L202" i="270"/>
  <c r="M202" i="270"/>
  <c r="N202" i="270"/>
  <c r="H203" i="270"/>
  <c r="I203" i="270"/>
  <c r="J203" i="270"/>
  <c r="K203" i="270"/>
  <c r="L203" i="270"/>
  <c r="M203" i="270"/>
  <c r="N203" i="270"/>
  <c r="O10" i="497"/>
  <c r="N10" i="497"/>
  <c r="M10" i="497"/>
  <c r="L10" i="497"/>
  <c r="K10" i="497"/>
  <c r="J10" i="497"/>
  <c r="I10" i="497"/>
  <c r="H10" i="497"/>
  <c r="G10" i="497"/>
  <c r="F10" i="497"/>
  <c r="E10" i="497"/>
  <c r="D5" i="497"/>
  <c r="H1" i="270"/>
  <c r="I1" i="270"/>
  <c r="J1" i="270"/>
  <c r="K1" i="270"/>
  <c r="L1" i="270"/>
  <c r="M1" i="270"/>
  <c r="N1" i="270"/>
  <c r="O1" i="270"/>
  <c r="P1" i="270"/>
  <c r="Q1" i="270"/>
  <c r="N3" i="497"/>
  <c r="R1" i="270"/>
  <c r="O3" i="497"/>
  <c r="Q2" i="270"/>
  <c r="N4" i="497"/>
  <c r="R2" i="270"/>
  <c r="O4" i="497"/>
  <c r="N5" i="497"/>
  <c r="O5" i="497"/>
  <c r="N6" i="497"/>
  <c r="O6" i="497"/>
  <c r="N7" i="497"/>
  <c r="O7" i="497"/>
  <c r="N8" i="497"/>
  <c r="O8" i="497"/>
  <c r="N9" i="497"/>
  <c r="O9" i="497"/>
  <c r="Q44" i="270"/>
  <c r="R44" i="270"/>
  <c r="E3" i="497"/>
  <c r="F3" i="497"/>
  <c r="G3" i="497"/>
  <c r="H3" i="497"/>
  <c r="I3" i="497"/>
  <c r="J3" i="497"/>
  <c r="K3" i="497"/>
  <c r="L3" i="497"/>
  <c r="M3" i="497"/>
  <c r="H2" i="270"/>
  <c r="E4" i="497"/>
  <c r="I2" i="270"/>
  <c r="F4" i="497"/>
  <c r="J2" i="270"/>
  <c r="G4" i="497"/>
  <c r="K2" i="270"/>
  <c r="H4" i="497"/>
  <c r="L2" i="270"/>
  <c r="I4" i="497"/>
  <c r="M2" i="270"/>
  <c r="J4" i="497"/>
  <c r="N2" i="270"/>
  <c r="K4" i="497"/>
  <c r="O2" i="270"/>
  <c r="L4" i="497"/>
  <c r="P2" i="270"/>
  <c r="M4" i="497"/>
  <c r="E5" i="497"/>
  <c r="F5" i="497"/>
  <c r="G5" i="497"/>
  <c r="H5" i="497"/>
  <c r="I5" i="497"/>
  <c r="J5" i="497"/>
  <c r="K5" i="497"/>
  <c r="L5" i="497"/>
  <c r="M5" i="497"/>
  <c r="E6" i="497"/>
  <c r="F6" i="497"/>
  <c r="G6" i="497"/>
  <c r="H6" i="497"/>
  <c r="I6" i="497"/>
  <c r="K6" i="497"/>
  <c r="L6" i="497"/>
  <c r="M6" i="497"/>
  <c r="E7" i="497"/>
  <c r="F7" i="497"/>
  <c r="G7" i="497"/>
  <c r="H7" i="497"/>
  <c r="I7" i="497"/>
  <c r="J7" i="497"/>
  <c r="K7" i="497"/>
  <c r="L7" i="497"/>
  <c r="M7" i="497"/>
  <c r="E8" i="497"/>
  <c r="F8" i="497"/>
  <c r="G8" i="497"/>
  <c r="H8" i="497"/>
  <c r="I8" i="497"/>
  <c r="J8" i="497"/>
  <c r="K8" i="497"/>
  <c r="L8" i="497"/>
  <c r="M8" i="497"/>
  <c r="E9" i="497"/>
  <c r="F9" i="497"/>
  <c r="G9" i="497"/>
  <c r="H9" i="497"/>
  <c r="I9" i="497"/>
  <c r="J9" i="497"/>
  <c r="K9" i="497"/>
  <c r="L9" i="497"/>
  <c r="M9" i="497"/>
  <c r="H44" i="270"/>
  <c r="I44" i="270"/>
  <c r="J44" i="270"/>
  <c r="K44" i="270"/>
  <c r="L44" i="270"/>
  <c r="M44" i="270"/>
  <c r="N44" i="270"/>
  <c r="O44" i="270"/>
  <c r="P44" i="270"/>
  <c r="D8" i="497"/>
  <c r="D7" i="497"/>
  <c r="D4" i="497"/>
  <c r="D3" i="497"/>
  <c r="D10" i="497"/>
  <c r="E36" i="235"/>
  <c r="C36" i="235"/>
  <c r="E37" i="235"/>
  <c r="C37" i="235"/>
  <c r="D6" i="235"/>
  <c r="C73" i="235"/>
  <c r="B73" i="235"/>
  <c r="B74" i="235"/>
  <c r="D53" i="235"/>
  <c r="E12" i="235"/>
  <c r="E13" i="235"/>
  <c r="E14" i="235"/>
  <c r="E15" i="235"/>
  <c r="E16" i="235"/>
  <c r="E17" i="235"/>
  <c r="E18" i="235"/>
  <c r="E19" i="235"/>
  <c r="E20" i="235"/>
  <c r="E21" i="235"/>
  <c r="E22" i="235"/>
  <c r="E23" i="235"/>
  <c r="E24" i="235"/>
  <c r="E25" i="235"/>
  <c r="E26" i="235"/>
  <c r="E27" i="235"/>
  <c r="E28" i="235"/>
  <c r="G163" i="270"/>
  <c r="G202" i="270"/>
  <c r="E40" i="235"/>
  <c r="E57" i="235"/>
  <c r="E64" i="235"/>
  <c r="E71" i="235"/>
  <c r="E59" i="235"/>
  <c r="B173" i="270"/>
  <c r="B174" i="270"/>
  <c r="B175" i="270"/>
  <c r="B176" i="270"/>
  <c r="B177" i="270"/>
  <c r="B178" i="270"/>
  <c r="B179" i="270"/>
  <c r="B180" i="270"/>
  <c r="B181" i="270"/>
  <c r="B182" i="270"/>
  <c r="B183" i="270"/>
  <c r="B184" i="270"/>
  <c r="B185" i="270"/>
  <c r="B186" i="270"/>
  <c r="B187" i="270"/>
  <c r="B188" i="270"/>
  <c r="B189" i="270"/>
  <c r="B190" i="270"/>
  <c r="B191" i="270"/>
  <c r="B192" i="270"/>
  <c r="B193" i="270"/>
  <c r="B194" i="270"/>
  <c r="B195" i="270"/>
  <c r="B196" i="270"/>
  <c r="B74" i="270"/>
  <c r="B75" i="270"/>
  <c r="B76" i="270"/>
  <c r="B77" i="270"/>
  <c r="B78" i="270"/>
  <c r="B79" i="270"/>
  <c r="B80" i="270"/>
  <c r="B81" i="270"/>
  <c r="B82" i="270"/>
  <c r="B83" i="270"/>
  <c r="B84" i="270"/>
  <c r="B85" i="270"/>
  <c r="B86" i="270"/>
  <c r="B87" i="270"/>
  <c r="B88" i="270"/>
  <c r="B89" i="270"/>
  <c r="B90" i="270"/>
  <c r="B91" i="270"/>
  <c r="B92" i="270"/>
  <c r="B93" i="270"/>
  <c r="B94" i="270"/>
  <c r="B95" i="270"/>
  <c r="B96" i="270"/>
  <c r="D196" i="270"/>
  <c r="B197" i="270"/>
  <c r="B97" i="270"/>
  <c r="D197" i="270"/>
  <c r="B198" i="270"/>
  <c r="B199" i="270"/>
  <c r="B200" i="270"/>
  <c r="B201" i="270"/>
  <c r="B202" i="270"/>
  <c r="B203" i="270"/>
  <c r="B204" i="270"/>
  <c r="B205" i="270"/>
  <c r="B98" i="270"/>
  <c r="B99" i="270"/>
  <c r="B100" i="270"/>
  <c r="B101" i="270"/>
  <c r="B102" i="270"/>
  <c r="B103" i="270"/>
  <c r="B104" i="270"/>
  <c r="D204" i="270"/>
  <c r="E70" i="235"/>
  <c r="D70" i="235"/>
  <c r="E68" i="235"/>
  <c r="E60" i="235"/>
  <c r="E62" i="235"/>
  <c r="E58" i="235"/>
  <c r="E29" i="235"/>
  <c r="E30" i="235"/>
  <c r="E35" i="235"/>
  <c r="E39" i="235"/>
  <c r="C39" i="235"/>
  <c r="D36" i="235"/>
  <c r="G109" i="270"/>
  <c r="G141" i="270"/>
  <c r="G168" i="270"/>
  <c r="G166" i="270"/>
  <c r="E33" i="235"/>
  <c r="C33" i="235"/>
  <c r="D33" i="235"/>
  <c r="E34" i="235"/>
  <c r="C34" i="235"/>
  <c r="D34" i="235"/>
  <c r="C35" i="235"/>
  <c r="D35" i="235"/>
  <c r="D37" i="235"/>
  <c r="D39" i="235"/>
  <c r="G165" i="270"/>
  <c r="G164" i="270"/>
  <c r="D165" i="270"/>
  <c r="D166" i="270"/>
  <c r="D167" i="270"/>
  <c r="D168" i="270"/>
  <c r="D169" i="270"/>
  <c r="D170" i="270"/>
  <c r="D145" i="270"/>
  <c r="D146" i="270"/>
  <c r="D147" i="270"/>
  <c r="D148" i="270"/>
  <c r="D149" i="270"/>
  <c r="D150" i="270"/>
  <c r="D151" i="270"/>
  <c r="D152" i="270"/>
  <c r="D153" i="270"/>
  <c r="D154" i="270"/>
  <c r="D155" i="270"/>
  <c r="D156" i="270"/>
  <c r="D157" i="270"/>
  <c r="D158" i="270"/>
  <c r="D159" i="270"/>
  <c r="D160" i="270"/>
  <c r="D161" i="270"/>
  <c r="D162" i="270"/>
  <c r="D163" i="270"/>
  <c r="D164" i="270"/>
  <c r="D173" i="270"/>
  <c r="D174" i="270"/>
  <c r="D175" i="270"/>
  <c r="D176" i="270"/>
  <c r="D177" i="270"/>
  <c r="D178" i="270"/>
  <c r="D179" i="270"/>
  <c r="D180" i="270"/>
  <c r="D181" i="270"/>
  <c r="D182" i="270"/>
  <c r="D183" i="270"/>
  <c r="D184" i="270"/>
  <c r="D185" i="270"/>
  <c r="D186" i="270"/>
  <c r="D187" i="270"/>
  <c r="D188" i="270"/>
  <c r="D189" i="270"/>
  <c r="D190" i="270"/>
  <c r="D191" i="270"/>
  <c r="D192" i="270"/>
  <c r="D193" i="270"/>
  <c r="D194" i="270"/>
  <c r="D195" i="270"/>
  <c r="D198" i="270"/>
  <c r="D199" i="270"/>
  <c r="D200" i="270"/>
  <c r="D201" i="270"/>
  <c r="D202" i="270"/>
  <c r="D203" i="270"/>
  <c r="B105" i="270"/>
  <c r="D205" i="270"/>
  <c r="B106" i="270"/>
  <c r="B107" i="270"/>
  <c r="B108" i="270"/>
  <c r="B109" i="270"/>
  <c r="S65" i="270"/>
  <c r="S66" i="270"/>
  <c r="S67" i="270"/>
  <c r="S68" i="270"/>
  <c r="S69" i="270"/>
  <c r="S70" i="270"/>
  <c r="B13" i="235"/>
  <c r="B14" i="235"/>
  <c r="B15" i="235"/>
  <c r="B16" i="235"/>
  <c r="B17" i="235"/>
  <c r="B18" i="235"/>
  <c r="B19" i="235"/>
  <c r="B20" i="235"/>
  <c r="B21" i="235"/>
  <c r="B22" i="235"/>
  <c r="B23" i="235"/>
  <c r="B24" i="235"/>
  <c r="B25" i="235"/>
  <c r="B26" i="235"/>
  <c r="B27" i="235"/>
  <c r="B28" i="235"/>
  <c r="B29" i="235"/>
  <c r="B30" i="235"/>
  <c r="B31" i="235"/>
  <c r="B32" i="235"/>
  <c r="B33" i="235"/>
  <c r="B34" i="235"/>
  <c r="B35" i="235"/>
  <c r="B36" i="235"/>
  <c r="B37" i="235"/>
  <c r="B40" i="235"/>
  <c r="G139" i="270"/>
  <c r="G161" i="270"/>
  <c r="G160" i="270"/>
  <c r="G159" i="270"/>
  <c r="G158" i="270"/>
  <c r="G157" i="270"/>
  <c r="G156" i="270"/>
  <c r="G155" i="270"/>
  <c r="G150" i="270"/>
  <c r="G151" i="270"/>
  <c r="G152" i="270"/>
  <c r="G153" i="270"/>
  <c r="G154" i="270"/>
  <c r="G149" i="270"/>
  <c r="C50" i="270"/>
  <c r="E50" i="270"/>
  <c r="C51" i="270"/>
  <c r="E51" i="270"/>
  <c r="C52" i="270"/>
  <c r="E52" i="270"/>
  <c r="C53" i="270"/>
  <c r="E53" i="270"/>
  <c r="C54" i="270"/>
  <c r="E54" i="270"/>
  <c r="E49" i="270"/>
  <c r="C49" i="270"/>
  <c r="E72" i="235"/>
  <c r="C72" i="235"/>
  <c r="C71" i="235"/>
  <c r="C70" i="235"/>
  <c r="E69" i="235"/>
  <c r="C69" i="235"/>
  <c r="C68" i="235"/>
  <c r="E67" i="235"/>
  <c r="C67" i="235"/>
  <c r="E66" i="235"/>
  <c r="C66" i="235"/>
  <c r="E65" i="235"/>
  <c r="C65" i="235"/>
  <c r="C64" i="235"/>
  <c r="E63" i="235"/>
  <c r="C63" i="235"/>
  <c r="C62" i="235"/>
  <c r="E61" i="235"/>
  <c r="C61" i="235"/>
  <c r="C60" i="235"/>
  <c r="C59" i="235"/>
  <c r="C58" i="235"/>
  <c r="C57" i="235"/>
  <c r="E56" i="235"/>
  <c r="C56" i="235"/>
  <c r="E55" i="235"/>
  <c r="C55" i="235"/>
  <c r="E54" i="235"/>
  <c r="C54" i="235"/>
  <c r="E52" i="235"/>
  <c r="C52" i="235"/>
  <c r="E51" i="235"/>
  <c r="C51" i="235"/>
  <c r="E50" i="235"/>
  <c r="C50" i="235"/>
  <c r="E49" i="235"/>
  <c r="C49" i="235"/>
  <c r="E48" i="235"/>
  <c r="C48" i="235"/>
  <c r="C47" i="235"/>
  <c r="E46" i="235"/>
  <c r="C46" i="235"/>
  <c r="E45" i="235"/>
  <c r="C45" i="235"/>
  <c r="C44" i="235"/>
  <c r="E43" i="235"/>
  <c r="C43" i="235"/>
  <c r="E42" i="235"/>
  <c r="C42" i="235"/>
  <c r="E41" i="235"/>
  <c r="C41" i="235"/>
  <c r="C40" i="235"/>
  <c r="E32" i="235"/>
  <c r="C32" i="235"/>
  <c r="E31" i="235"/>
  <c r="C31" i="235"/>
  <c r="C30" i="235"/>
  <c r="C29" i="235"/>
  <c r="C28" i="235"/>
  <c r="C27" i="235"/>
  <c r="C26" i="235"/>
  <c r="C25" i="235"/>
  <c r="C24" i="235"/>
  <c r="C23" i="235"/>
  <c r="C22" i="235"/>
  <c r="C21" i="235"/>
  <c r="C20" i="235"/>
  <c r="C19" i="235"/>
  <c r="C18" i="235"/>
  <c r="C17" i="235"/>
  <c r="C16" i="235"/>
  <c r="C15" i="235"/>
  <c r="C14" i="235"/>
  <c r="C13" i="235"/>
  <c r="C12" i="235"/>
  <c r="G148" i="270"/>
  <c r="D9" i="235"/>
  <c r="G142" i="270"/>
  <c r="D72" i="235"/>
  <c r="D71" i="235"/>
  <c r="D69" i="235"/>
  <c r="D68" i="235"/>
  <c r="D67" i="235"/>
  <c r="D66" i="235"/>
  <c r="D65" i="235"/>
  <c r="D64" i="235"/>
  <c r="D63" i="235"/>
  <c r="D62" i="235"/>
  <c r="D61" i="235"/>
  <c r="D60" i="235"/>
  <c r="D59" i="235"/>
  <c r="D58" i="235"/>
  <c r="D57" i="235"/>
  <c r="D56" i="235"/>
  <c r="D55" i="235"/>
  <c r="D54" i="235"/>
  <c r="D52" i="235"/>
  <c r="D51" i="235"/>
  <c r="D50" i="235"/>
  <c r="D49" i="235"/>
  <c r="D48" i="235"/>
  <c r="D47" i="235"/>
  <c r="D46" i="235"/>
  <c r="D45" i="235"/>
  <c r="D44" i="235"/>
  <c r="D43" i="235"/>
  <c r="D42" i="235"/>
  <c r="D41" i="235"/>
  <c r="D40" i="235"/>
  <c r="D32" i="235"/>
  <c r="D31" i="235"/>
  <c r="D30" i="235"/>
  <c r="D29" i="235"/>
  <c r="D28" i="235"/>
  <c r="D27" i="235"/>
  <c r="D26" i="235"/>
  <c r="D25" i="235"/>
  <c r="D24" i="235"/>
  <c r="D23" i="235"/>
  <c r="D22" i="235"/>
  <c r="D21" i="235"/>
  <c r="D20" i="235"/>
  <c r="D19" i="235"/>
  <c r="D18" i="235"/>
  <c r="D17" i="235"/>
  <c r="D16" i="235"/>
  <c r="D15" i="235"/>
  <c r="D14" i="235"/>
  <c r="D13" i="235"/>
  <c r="H145" i="270"/>
  <c r="I145" i="270"/>
  <c r="J145" i="270"/>
  <c r="K145" i="270"/>
  <c r="L145" i="270"/>
  <c r="M145" i="270"/>
  <c r="N145" i="270"/>
  <c r="O145" i="270"/>
  <c r="P145" i="270"/>
  <c r="Q145" i="270"/>
  <c r="R145" i="270"/>
  <c r="D8" i="235"/>
  <c r="D12" i="235"/>
  <c r="C8" i="236"/>
  <c r="C7" i="236"/>
  <c r="C6" i="236"/>
  <c r="C5" i="236"/>
  <c r="C4" i="236"/>
  <c r="D7" i="235"/>
  <c r="D5" i="235"/>
  <c r="D4" i="235"/>
  <c r="H3" i="435"/>
  <c r="H11" i="435"/>
  <c r="H9" i="435"/>
  <c r="H10" i="435"/>
  <c r="H12" i="435"/>
  <c r="H17" i="435"/>
  <c r="G3" i="435"/>
  <c r="G11" i="435"/>
  <c r="G9" i="435"/>
  <c r="G10" i="435"/>
  <c r="G12" i="435"/>
  <c r="G17" i="435"/>
  <c r="F3" i="435"/>
  <c r="F11" i="435"/>
  <c r="F9" i="435"/>
  <c r="F10" i="435"/>
  <c r="F12" i="435"/>
  <c r="F17" i="435"/>
  <c r="E3" i="435"/>
  <c r="E11" i="435"/>
  <c r="E9" i="435"/>
  <c r="E10" i="435"/>
  <c r="E12" i="435"/>
  <c r="E17" i="435"/>
  <c r="D3" i="435"/>
  <c r="D11" i="435"/>
  <c r="D9" i="435"/>
  <c r="D10" i="435"/>
  <c r="D12" i="435"/>
  <c r="D17" i="435"/>
  <c r="C3" i="435"/>
  <c r="C7" i="435"/>
  <c r="C11" i="435"/>
  <c r="C9" i="435"/>
  <c r="C10" i="435"/>
  <c r="C12" i="435"/>
  <c r="C17" i="435"/>
  <c r="H16" i="435"/>
  <c r="G16" i="435"/>
  <c r="F16" i="435"/>
  <c r="E16" i="435"/>
  <c r="D16" i="435"/>
  <c r="C16" i="435"/>
  <c r="L5" i="173"/>
  <c r="E12" i="173"/>
  <c r="F12" i="173"/>
  <c r="G12" i="173"/>
  <c r="H12" i="173"/>
  <c r="I12" i="173"/>
  <c r="J12" i="173"/>
  <c r="K12" i="173"/>
  <c r="L12" i="173"/>
  <c r="M12" i="173"/>
  <c r="N12" i="173"/>
  <c r="O12" i="173"/>
  <c r="L27" i="419"/>
  <c r="M27" i="419"/>
  <c r="L3" i="419"/>
  <c r="M3" i="419"/>
  <c r="M3" i="371"/>
  <c r="F3" i="371"/>
  <c r="G3" i="371"/>
  <c r="H3" i="371"/>
  <c r="I3" i="371"/>
  <c r="J3" i="371"/>
  <c r="K3" i="371"/>
  <c r="N3" i="371"/>
  <c r="O3" i="371"/>
  <c r="E3" i="371"/>
  <c r="N3" i="419"/>
  <c r="O3" i="419"/>
  <c r="F3" i="419"/>
  <c r="G3" i="419"/>
  <c r="H3" i="419"/>
  <c r="I3" i="419"/>
  <c r="J3" i="419"/>
  <c r="K3" i="419"/>
  <c r="E3" i="419"/>
  <c r="N27" i="371"/>
  <c r="O27" i="371"/>
  <c r="D27" i="419"/>
  <c r="E27" i="419"/>
  <c r="F27" i="419"/>
  <c r="G27" i="419"/>
  <c r="H27" i="419"/>
  <c r="I27" i="419"/>
  <c r="J27" i="419"/>
  <c r="K27" i="419"/>
  <c r="D27" i="371"/>
  <c r="D26" i="371"/>
  <c r="D27" i="219"/>
  <c r="D26" i="219"/>
  <c r="D26" i="419"/>
  <c r="M24" i="419"/>
  <c r="D23" i="419"/>
  <c r="E44" i="371"/>
  <c r="E45" i="371"/>
  <c r="E46" i="371"/>
  <c r="E47" i="371"/>
  <c r="E48" i="371"/>
  <c r="E49" i="371"/>
  <c r="E50" i="371"/>
  <c r="E51" i="371"/>
  <c r="E52" i="371"/>
  <c r="E53" i="371"/>
  <c r="E54" i="371"/>
  <c r="E55" i="371"/>
  <c r="E56" i="371"/>
  <c r="E57" i="371"/>
  <c r="E58" i="371"/>
  <c r="E59" i="371"/>
  <c r="E60" i="371"/>
  <c r="E61" i="371"/>
  <c r="E62" i="371"/>
  <c r="E88" i="371"/>
  <c r="F44" i="371"/>
  <c r="F45" i="371"/>
  <c r="F46" i="371"/>
  <c r="F47" i="371"/>
  <c r="F48" i="371"/>
  <c r="F49" i="371"/>
  <c r="F50" i="371"/>
  <c r="F51" i="371"/>
  <c r="F52" i="371"/>
  <c r="F53" i="371"/>
  <c r="F54" i="371"/>
  <c r="F55" i="371"/>
  <c r="F56" i="371"/>
  <c r="F57" i="371"/>
  <c r="F58" i="371"/>
  <c r="F59" i="371"/>
  <c r="F60" i="371"/>
  <c r="F61" i="371"/>
  <c r="F62" i="371"/>
  <c r="F88" i="371"/>
  <c r="G44" i="371"/>
  <c r="G45" i="371"/>
  <c r="G46" i="371"/>
  <c r="G47" i="371"/>
  <c r="G48" i="371"/>
  <c r="G49" i="371"/>
  <c r="G50" i="371"/>
  <c r="G51" i="371"/>
  <c r="G52" i="371"/>
  <c r="G53" i="371"/>
  <c r="G54" i="371"/>
  <c r="G55" i="371"/>
  <c r="G56" i="371"/>
  <c r="G57" i="371"/>
  <c r="G58" i="371"/>
  <c r="G59" i="371"/>
  <c r="G60" i="371"/>
  <c r="G61" i="371"/>
  <c r="G62" i="371"/>
  <c r="G88" i="371"/>
  <c r="H44" i="371"/>
  <c r="H45" i="371"/>
  <c r="H46" i="371"/>
  <c r="H47" i="371"/>
  <c r="H48" i="371"/>
  <c r="H49" i="371"/>
  <c r="H50" i="371"/>
  <c r="H51" i="371"/>
  <c r="H52" i="371"/>
  <c r="H53" i="371"/>
  <c r="H54" i="371"/>
  <c r="H55" i="371"/>
  <c r="H56" i="371"/>
  <c r="H57" i="371"/>
  <c r="H58" i="371"/>
  <c r="H59" i="371"/>
  <c r="H60" i="371"/>
  <c r="H61" i="371"/>
  <c r="H62" i="371"/>
  <c r="H88" i="371"/>
  <c r="L44" i="63"/>
  <c r="L45" i="63"/>
  <c r="L46" i="63"/>
  <c r="L47" i="63"/>
  <c r="L48" i="63"/>
  <c r="L49" i="63"/>
  <c r="L50" i="63"/>
  <c r="L51" i="63"/>
  <c r="L52" i="63"/>
  <c r="L53" i="63"/>
  <c r="L54" i="63"/>
  <c r="L55" i="63"/>
  <c r="L56" i="63"/>
  <c r="L57" i="63"/>
  <c r="L58" i="63"/>
  <c r="L59" i="63"/>
  <c r="L60" i="63"/>
  <c r="L61" i="63"/>
  <c r="L62" i="63"/>
  <c r="L89" i="63"/>
  <c r="I44" i="63"/>
  <c r="I45" i="63"/>
  <c r="I55" i="63"/>
  <c r="I56" i="63"/>
  <c r="I57" i="63"/>
  <c r="I58" i="63"/>
  <c r="I61" i="63"/>
  <c r="I62" i="63"/>
  <c r="I89" i="63"/>
  <c r="J45" i="63"/>
  <c r="J55" i="63"/>
  <c r="J56" i="63"/>
  <c r="J57" i="63"/>
  <c r="J58" i="63"/>
  <c r="J61" i="63"/>
  <c r="J62" i="63"/>
  <c r="J89" i="63"/>
  <c r="K44" i="63"/>
  <c r="K45" i="63"/>
  <c r="K55" i="63"/>
  <c r="K56" i="63"/>
  <c r="K57" i="63"/>
  <c r="K58" i="63"/>
  <c r="K61" i="63"/>
  <c r="K62" i="63"/>
  <c r="K89" i="63"/>
  <c r="M44" i="63"/>
  <c r="M45" i="63"/>
  <c r="M55" i="63"/>
  <c r="M56" i="63"/>
  <c r="M57" i="63"/>
  <c r="M58" i="63"/>
  <c r="M61" i="63"/>
  <c r="M62" i="63"/>
  <c r="M37" i="63"/>
  <c r="M63" i="63"/>
  <c r="M89" i="63"/>
  <c r="N44" i="63"/>
  <c r="N45" i="63"/>
  <c r="N55" i="63"/>
  <c r="N56" i="63"/>
  <c r="N57" i="63"/>
  <c r="N58" i="63"/>
  <c r="N61" i="63"/>
  <c r="N62" i="63"/>
  <c r="N37" i="63"/>
  <c r="N63" i="63"/>
  <c r="N89" i="63"/>
  <c r="O44" i="63"/>
  <c r="O45" i="63"/>
  <c r="O55" i="63"/>
  <c r="O56" i="63"/>
  <c r="O57" i="63"/>
  <c r="O58" i="63"/>
  <c r="O61" i="63"/>
  <c r="O62" i="63"/>
  <c r="D44" i="63"/>
  <c r="D45" i="63"/>
  <c r="D55" i="63"/>
  <c r="D56" i="63"/>
  <c r="D57" i="63"/>
  <c r="D58" i="63"/>
  <c r="D61" i="63"/>
  <c r="D62" i="63"/>
  <c r="D88" i="63"/>
  <c r="E44" i="63"/>
  <c r="E45" i="63"/>
  <c r="E55" i="63"/>
  <c r="E56" i="63"/>
  <c r="E57" i="63"/>
  <c r="E58" i="63"/>
  <c r="E61" i="63"/>
  <c r="E62" i="63"/>
  <c r="E88" i="63"/>
  <c r="F44" i="63"/>
  <c r="F45" i="63"/>
  <c r="F55" i="63"/>
  <c r="F56" i="63"/>
  <c r="F57" i="63"/>
  <c r="F58" i="63"/>
  <c r="F61" i="63"/>
  <c r="F62" i="63"/>
  <c r="F88" i="63"/>
  <c r="G44" i="63"/>
  <c r="G45" i="63"/>
  <c r="G55" i="63"/>
  <c r="G56" i="63"/>
  <c r="G57" i="63"/>
  <c r="G58" i="63"/>
  <c r="G61" i="63"/>
  <c r="G62" i="63"/>
  <c r="G88" i="63"/>
  <c r="H44" i="63"/>
  <c r="H45" i="63"/>
  <c r="H55" i="63"/>
  <c r="H56" i="63"/>
  <c r="H57" i="63"/>
  <c r="H58" i="63"/>
  <c r="H61" i="63"/>
  <c r="H62" i="63"/>
  <c r="H88" i="63"/>
  <c r="P88" i="63"/>
  <c r="O37" i="63"/>
  <c r="O63" i="63"/>
  <c r="O89" i="63"/>
  <c r="P89" i="63"/>
  <c r="C88" i="18"/>
  <c r="D44" i="18"/>
  <c r="D45" i="18"/>
  <c r="D55" i="18"/>
  <c r="D56" i="18"/>
  <c r="D57" i="18"/>
  <c r="D58" i="18"/>
  <c r="D61" i="18"/>
  <c r="D62" i="18"/>
  <c r="D88" i="18"/>
  <c r="E44" i="18"/>
  <c r="E45" i="18"/>
  <c r="E55" i="18"/>
  <c r="E56" i="18"/>
  <c r="E57" i="18"/>
  <c r="E58" i="18"/>
  <c r="E61" i="18"/>
  <c r="E62" i="18"/>
  <c r="E88" i="18"/>
  <c r="F44" i="18"/>
  <c r="F45" i="18"/>
  <c r="F55" i="18"/>
  <c r="F56" i="18"/>
  <c r="F57" i="18"/>
  <c r="F58" i="18"/>
  <c r="F61" i="18"/>
  <c r="F62" i="18"/>
  <c r="F88" i="18"/>
  <c r="G44" i="18"/>
  <c r="G45" i="18"/>
  <c r="G55" i="18"/>
  <c r="G56" i="18"/>
  <c r="G57" i="18"/>
  <c r="G58" i="18"/>
  <c r="G61" i="18"/>
  <c r="G62" i="18"/>
  <c r="G88" i="18"/>
  <c r="H44" i="18"/>
  <c r="H45" i="18"/>
  <c r="H55" i="18"/>
  <c r="H56" i="18"/>
  <c r="H57" i="18"/>
  <c r="H58" i="18"/>
  <c r="H61" i="18"/>
  <c r="H62" i="18"/>
  <c r="H88" i="18"/>
  <c r="P88" i="18"/>
  <c r="M37" i="18"/>
  <c r="M63" i="18"/>
  <c r="M44" i="18"/>
  <c r="M45" i="18"/>
  <c r="M55" i="18"/>
  <c r="M56" i="18"/>
  <c r="M57" i="18"/>
  <c r="M58" i="18"/>
  <c r="M61" i="18"/>
  <c r="M62" i="18"/>
  <c r="M89" i="18"/>
  <c r="N37" i="18"/>
  <c r="N63" i="18"/>
  <c r="N44" i="18"/>
  <c r="N45" i="18"/>
  <c r="N55" i="18"/>
  <c r="N56" i="18"/>
  <c r="N57" i="18"/>
  <c r="N58" i="18"/>
  <c r="N61" i="18"/>
  <c r="N62" i="18"/>
  <c r="N89" i="18"/>
  <c r="O37" i="18"/>
  <c r="O63" i="18"/>
  <c r="O44" i="18"/>
  <c r="O45" i="18"/>
  <c r="O55" i="18"/>
  <c r="O56" i="18"/>
  <c r="O57" i="18"/>
  <c r="O58" i="18"/>
  <c r="O61" i="18"/>
  <c r="O62" i="18"/>
  <c r="O89" i="18"/>
  <c r="I44" i="18"/>
  <c r="I45" i="18"/>
  <c r="I55" i="18"/>
  <c r="I56" i="18"/>
  <c r="I57" i="18"/>
  <c r="I58" i="18"/>
  <c r="I61" i="18"/>
  <c r="I62" i="18"/>
  <c r="I89" i="18"/>
  <c r="J44" i="18"/>
  <c r="J45" i="18"/>
  <c r="J55" i="18"/>
  <c r="J56" i="18"/>
  <c r="J57" i="18"/>
  <c r="J58" i="18"/>
  <c r="J61" i="18"/>
  <c r="J62" i="18"/>
  <c r="J89" i="18"/>
  <c r="K44" i="18"/>
  <c r="K45" i="18"/>
  <c r="K55" i="18"/>
  <c r="K56" i="18"/>
  <c r="K57" i="18"/>
  <c r="K58" i="18"/>
  <c r="K61" i="18"/>
  <c r="K62" i="18"/>
  <c r="K89" i="18"/>
  <c r="L44" i="18"/>
  <c r="L45" i="18"/>
  <c r="L55" i="18"/>
  <c r="L56" i="18"/>
  <c r="L57" i="18"/>
  <c r="L58" i="18"/>
  <c r="L61" i="18"/>
  <c r="L62" i="18"/>
  <c r="L89" i="18"/>
  <c r="P89" i="18"/>
  <c r="C88" i="219"/>
  <c r="D44" i="219"/>
  <c r="D45" i="219"/>
  <c r="D55" i="219"/>
  <c r="D56" i="219"/>
  <c r="D57" i="219"/>
  <c r="D58" i="219"/>
  <c r="D61" i="219"/>
  <c r="D62" i="219"/>
  <c r="D88" i="219"/>
  <c r="E44" i="219"/>
  <c r="E45" i="219"/>
  <c r="E55" i="219"/>
  <c r="E56" i="219"/>
  <c r="E57" i="219"/>
  <c r="E58" i="219"/>
  <c r="E61" i="219"/>
  <c r="E62" i="219"/>
  <c r="E88" i="219"/>
  <c r="F44" i="219"/>
  <c r="F45" i="219"/>
  <c r="F55" i="219"/>
  <c r="F56" i="219"/>
  <c r="F57" i="219"/>
  <c r="F58" i="219"/>
  <c r="F61" i="219"/>
  <c r="F62" i="219"/>
  <c r="F88" i="219"/>
  <c r="G44" i="219"/>
  <c r="G45" i="219"/>
  <c r="G55" i="219"/>
  <c r="G56" i="219"/>
  <c r="G57" i="219"/>
  <c r="G58" i="219"/>
  <c r="G61" i="219"/>
  <c r="G62" i="219"/>
  <c r="G88" i="219"/>
  <c r="H44" i="219"/>
  <c r="H45" i="219"/>
  <c r="H55" i="219"/>
  <c r="H56" i="219"/>
  <c r="H57" i="219"/>
  <c r="H58" i="219"/>
  <c r="H61" i="219"/>
  <c r="H62" i="219"/>
  <c r="H88" i="219"/>
  <c r="P88" i="219"/>
  <c r="M37" i="219"/>
  <c r="M63" i="219"/>
  <c r="M44" i="219"/>
  <c r="M45" i="219"/>
  <c r="M55" i="219"/>
  <c r="M56" i="219"/>
  <c r="M57" i="219"/>
  <c r="M58" i="219"/>
  <c r="M61" i="219"/>
  <c r="M62" i="219"/>
  <c r="M89" i="219"/>
  <c r="N37" i="219"/>
  <c r="N63" i="219"/>
  <c r="N44" i="219"/>
  <c r="N45" i="219"/>
  <c r="N55" i="219"/>
  <c r="N56" i="219"/>
  <c r="N57" i="219"/>
  <c r="N58" i="219"/>
  <c r="N61" i="219"/>
  <c r="N62" i="219"/>
  <c r="N89" i="219"/>
  <c r="O37" i="219"/>
  <c r="O63" i="219"/>
  <c r="O44" i="219"/>
  <c r="O45" i="219"/>
  <c r="O55" i="219"/>
  <c r="O56" i="219"/>
  <c r="O57" i="219"/>
  <c r="O58" i="219"/>
  <c r="O61" i="219"/>
  <c r="O62" i="219"/>
  <c r="O89" i="219"/>
  <c r="I44" i="219"/>
  <c r="I45" i="219"/>
  <c r="I55" i="219"/>
  <c r="I56" i="219"/>
  <c r="I57" i="219"/>
  <c r="I58" i="219"/>
  <c r="I61" i="219"/>
  <c r="I62" i="219"/>
  <c r="I89" i="219"/>
  <c r="J44" i="219"/>
  <c r="J45" i="219"/>
  <c r="J55" i="219"/>
  <c r="J56" i="219"/>
  <c r="J57" i="219"/>
  <c r="J58" i="219"/>
  <c r="J61" i="219"/>
  <c r="J62" i="219"/>
  <c r="J89" i="219"/>
  <c r="K44" i="219"/>
  <c r="K45" i="219"/>
  <c r="K55" i="219"/>
  <c r="K56" i="219"/>
  <c r="K57" i="219"/>
  <c r="K58" i="219"/>
  <c r="K61" i="219"/>
  <c r="K62" i="219"/>
  <c r="K89" i="219"/>
  <c r="L44" i="219"/>
  <c r="L45" i="219"/>
  <c r="L55" i="219"/>
  <c r="L56" i="219"/>
  <c r="L57" i="219"/>
  <c r="L58" i="219"/>
  <c r="L61" i="219"/>
  <c r="L62" i="219"/>
  <c r="L89" i="219"/>
  <c r="P89" i="219"/>
  <c r="C88" i="371"/>
  <c r="D44" i="371"/>
  <c r="D45" i="371"/>
  <c r="D55" i="371"/>
  <c r="D56" i="371"/>
  <c r="D57" i="371"/>
  <c r="D58" i="371"/>
  <c r="D61" i="371"/>
  <c r="D62" i="371"/>
  <c r="D88" i="371"/>
  <c r="P88" i="371"/>
  <c r="M37" i="371"/>
  <c r="M63" i="371"/>
  <c r="M44" i="371"/>
  <c r="M45" i="371"/>
  <c r="M46" i="371"/>
  <c r="M47" i="371"/>
  <c r="M48" i="371"/>
  <c r="M49" i="371"/>
  <c r="M50" i="371"/>
  <c r="M51" i="371"/>
  <c r="M52" i="371"/>
  <c r="M53" i="371"/>
  <c r="M54" i="371"/>
  <c r="M55" i="371"/>
  <c r="M56" i="371"/>
  <c r="M57" i="371"/>
  <c r="M58" i="371"/>
  <c r="M59" i="371"/>
  <c r="M60" i="371"/>
  <c r="M61" i="371"/>
  <c r="M62" i="371"/>
  <c r="M65" i="371"/>
  <c r="M78" i="371"/>
  <c r="M66" i="371"/>
  <c r="M67" i="371"/>
  <c r="M68" i="371"/>
  <c r="M69" i="371"/>
  <c r="M70" i="371"/>
  <c r="M71" i="371"/>
  <c r="M72" i="371"/>
  <c r="M73" i="371"/>
  <c r="M74" i="371"/>
  <c r="M75" i="371"/>
  <c r="M76" i="371"/>
  <c r="M77" i="371"/>
  <c r="M79" i="371"/>
  <c r="M80" i="371"/>
  <c r="M81" i="371"/>
  <c r="M99" i="371"/>
  <c r="N37" i="371"/>
  <c r="N63" i="371"/>
  <c r="N44" i="371"/>
  <c r="N45" i="371"/>
  <c r="N46" i="371"/>
  <c r="N47" i="371"/>
  <c r="N48" i="371"/>
  <c r="N49" i="371"/>
  <c r="N50" i="371"/>
  <c r="N51" i="371"/>
  <c r="N52" i="371"/>
  <c r="N53" i="371"/>
  <c r="N54" i="371"/>
  <c r="N55" i="371"/>
  <c r="N56" i="371"/>
  <c r="N57" i="371"/>
  <c r="N58" i="371"/>
  <c r="N59" i="371"/>
  <c r="N60" i="371"/>
  <c r="N61" i="371"/>
  <c r="N62" i="371"/>
  <c r="N65" i="371"/>
  <c r="N78" i="371"/>
  <c r="N66" i="371"/>
  <c r="N67" i="371"/>
  <c r="N68" i="371"/>
  <c r="N69" i="371"/>
  <c r="N70" i="371"/>
  <c r="N71" i="371"/>
  <c r="N72" i="371"/>
  <c r="N73" i="371"/>
  <c r="N74" i="371"/>
  <c r="N75" i="371"/>
  <c r="N76" i="371"/>
  <c r="N77" i="371"/>
  <c r="N79" i="371"/>
  <c r="N80" i="371"/>
  <c r="N81" i="371"/>
  <c r="N99" i="371"/>
  <c r="O37" i="371"/>
  <c r="O63" i="371"/>
  <c r="O44" i="371"/>
  <c r="O45" i="371"/>
  <c r="O46" i="371"/>
  <c r="O47" i="371"/>
  <c r="O48" i="371"/>
  <c r="O49" i="371"/>
  <c r="O50" i="371"/>
  <c r="O51" i="371"/>
  <c r="O52" i="371"/>
  <c r="O53" i="371"/>
  <c r="O54" i="371"/>
  <c r="O55" i="371"/>
  <c r="O56" i="371"/>
  <c r="O57" i="371"/>
  <c r="O58" i="371"/>
  <c r="O59" i="371"/>
  <c r="O60" i="371"/>
  <c r="O61" i="371"/>
  <c r="O62" i="371"/>
  <c r="O65" i="371"/>
  <c r="O78" i="371"/>
  <c r="O66" i="371"/>
  <c r="O67" i="371"/>
  <c r="O68" i="371"/>
  <c r="O69" i="371"/>
  <c r="O70" i="371"/>
  <c r="O71" i="371"/>
  <c r="O72" i="371"/>
  <c r="O73" i="371"/>
  <c r="O74" i="371"/>
  <c r="O75" i="371"/>
  <c r="O76" i="371"/>
  <c r="O77" i="371"/>
  <c r="O79" i="371"/>
  <c r="O80" i="371"/>
  <c r="O81" i="371"/>
  <c r="O99" i="371"/>
  <c r="I44" i="371"/>
  <c r="I45" i="371"/>
  <c r="I46" i="371"/>
  <c r="I47" i="371"/>
  <c r="I48" i="371"/>
  <c r="I49" i="371"/>
  <c r="I50" i="371"/>
  <c r="I51" i="371"/>
  <c r="I52" i="371"/>
  <c r="I53" i="371"/>
  <c r="I54" i="371"/>
  <c r="I55" i="371"/>
  <c r="I56" i="371"/>
  <c r="I57" i="371"/>
  <c r="I58" i="371"/>
  <c r="I59" i="371"/>
  <c r="I60" i="371"/>
  <c r="I61" i="371"/>
  <c r="I62" i="371"/>
  <c r="I66" i="371"/>
  <c r="I67" i="371"/>
  <c r="I68" i="371"/>
  <c r="I69" i="371"/>
  <c r="I70" i="371"/>
  <c r="I71" i="371"/>
  <c r="I72" i="371"/>
  <c r="I73" i="371"/>
  <c r="I74" i="371"/>
  <c r="I75" i="371"/>
  <c r="I76" i="371"/>
  <c r="I77" i="371"/>
  <c r="I65" i="371"/>
  <c r="I78" i="371"/>
  <c r="I79" i="371"/>
  <c r="I80" i="371"/>
  <c r="I81" i="371"/>
  <c r="I99" i="371"/>
  <c r="J44" i="371"/>
  <c r="J45" i="371"/>
  <c r="J46" i="371"/>
  <c r="J47" i="371"/>
  <c r="J48" i="371"/>
  <c r="J49" i="371"/>
  <c r="J50" i="371"/>
  <c r="J51" i="371"/>
  <c r="J52" i="371"/>
  <c r="J53" i="371"/>
  <c r="J54" i="371"/>
  <c r="J55" i="371"/>
  <c r="J56" i="371"/>
  <c r="J57" i="371"/>
  <c r="J58" i="371"/>
  <c r="J59" i="371"/>
  <c r="J60" i="371"/>
  <c r="J61" i="371"/>
  <c r="J62" i="371"/>
  <c r="J66" i="371"/>
  <c r="J67" i="371"/>
  <c r="J68" i="371"/>
  <c r="J69" i="371"/>
  <c r="J70" i="371"/>
  <c r="J71" i="371"/>
  <c r="J72" i="371"/>
  <c r="J73" i="371"/>
  <c r="J74" i="371"/>
  <c r="J75" i="371"/>
  <c r="J76" i="371"/>
  <c r="J77" i="371"/>
  <c r="J65" i="371"/>
  <c r="J78" i="371"/>
  <c r="J79" i="371"/>
  <c r="J80" i="371"/>
  <c r="J81" i="371"/>
  <c r="J99" i="371"/>
  <c r="K44" i="371"/>
  <c r="K45" i="371"/>
  <c r="K46" i="371"/>
  <c r="K47" i="371"/>
  <c r="K48" i="371"/>
  <c r="K49" i="371"/>
  <c r="K50" i="371"/>
  <c r="K51" i="371"/>
  <c r="K52" i="371"/>
  <c r="K53" i="371"/>
  <c r="K54" i="371"/>
  <c r="K55" i="371"/>
  <c r="K56" i="371"/>
  <c r="K57" i="371"/>
  <c r="K58" i="371"/>
  <c r="K59" i="371"/>
  <c r="K60" i="371"/>
  <c r="K61" i="371"/>
  <c r="K62" i="371"/>
  <c r="K66" i="371"/>
  <c r="K67" i="371"/>
  <c r="K68" i="371"/>
  <c r="K69" i="371"/>
  <c r="K70" i="371"/>
  <c r="K71" i="371"/>
  <c r="K72" i="371"/>
  <c r="K73" i="371"/>
  <c r="K74" i="371"/>
  <c r="K75" i="371"/>
  <c r="K76" i="371"/>
  <c r="K77" i="371"/>
  <c r="K65" i="371"/>
  <c r="K78" i="371"/>
  <c r="K79" i="371"/>
  <c r="K80" i="371"/>
  <c r="K81" i="371"/>
  <c r="K99" i="371"/>
  <c r="L44" i="371"/>
  <c r="L45" i="371"/>
  <c r="L46" i="371"/>
  <c r="L47" i="371"/>
  <c r="L48" i="371"/>
  <c r="L49" i="371"/>
  <c r="L50" i="371"/>
  <c r="L51" i="371"/>
  <c r="L52" i="371"/>
  <c r="L53" i="371"/>
  <c r="L54" i="371"/>
  <c r="L55" i="371"/>
  <c r="L56" i="371"/>
  <c r="L57" i="371"/>
  <c r="L58" i="371"/>
  <c r="L59" i="371"/>
  <c r="L60" i="371"/>
  <c r="L61" i="371"/>
  <c r="L62" i="371"/>
  <c r="L66" i="371"/>
  <c r="L67" i="371"/>
  <c r="L68" i="371"/>
  <c r="L69" i="371"/>
  <c r="L70" i="371"/>
  <c r="L71" i="371"/>
  <c r="L72" i="371"/>
  <c r="L73" i="371"/>
  <c r="L74" i="371"/>
  <c r="L75" i="371"/>
  <c r="L76" i="371"/>
  <c r="L77" i="371"/>
  <c r="L65" i="371"/>
  <c r="L78" i="371"/>
  <c r="L79" i="371"/>
  <c r="L80" i="371"/>
  <c r="L81" i="371"/>
  <c r="L99" i="371"/>
  <c r="P99" i="371"/>
  <c r="C98" i="419"/>
  <c r="M89" i="371"/>
  <c r="N89" i="371"/>
  <c r="O89" i="371"/>
  <c r="I89" i="371"/>
  <c r="J89" i="371"/>
  <c r="K89" i="371"/>
  <c r="L89" i="371"/>
  <c r="P89" i="371"/>
  <c r="C88" i="419"/>
  <c r="D9" i="419"/>
  <c r="D7" i="419"/>
  <c r="D4" i="419"/>
  <c r="P2" i="371"/>
  <c r="P2" i="419"/>
  <c r="D1" i="419"/>
  <c r="E4" i="419"/>
  <c r="F4" i="419"/>
  <c r="G4" i="419"/>
  <c r="H4" i="419"/>
  <c r="I4" i="419"/>
  <c r="J4" i="419"/>
  <c r="K4" i="419"/>
  <c r="L4" i="419"/>
  <c r="M4" i="419"/>
  <c r="N4" i="419"/>
  <c r="O4" i="419"/>
  <c r="E9" i="419"/>
  <c r="F9" i="419"/>
  <c r="G9" i="419"/>
  <c r="H9" i="419"/>
  <c r="I9" i="419"/>
  <c r="J9" i="419"/>
  <c r="K9" i="419"/>
  <c r="L9" i="419"/>
  <c r="M9" i="419"/>
  <c r="N9" i="419"/>
  <c r="O9" i="419"/>
  <c r="O105" i="419"/>
  <c r="N105" i="419"/>
  <c r="M105" i="419"/>
  <c r="L105" i="419"/>
  <c r="K105" i="419"/>
  <c r="J105" i="419"/>
  <c r="I105" i="419"/>
  <c r="H105" i="419"/>
  <c r="G105" i="419"/>
  <c r="F105" i="419"/>
  <c r="E105" i="419"/>
  <c r="D105" i="419"/>
  <c r="A2" i="419"/>
  <c r="A3" i="419"/>
  <c r="A4" i="419"/>
  <c r="A5" i="419"/>
  <c r="A6" i="419"/>
  <c r="A7" i="419"/>
  <c r="A8" i="419"/>
  <c r="A9" i="419"/>
  <c r="A10" i="419"/>
  <c r="A11" i="419"/>
  <c r="A12" i="419"/>
  <c r="A13" i="419"/>
  <c r="A14" i="419"/>
  <c r="A15" i="419"/>
  <c r="A16" i="419"/>
  <c r="A17" i="419"/>
  <c r="A18" i="419"/>
  <c r="A19" i="419"/>
  <c r="A20" i="419"/>
  <c r="A21" i="419"/>
  <c r="A22" i="419"/>
  <c r="A23" i="419"/>
  <c r="A24" i="419"/>
  <c r="A25" i="419"/>
  <c r="A26" i="419"/>
  <c r="A27" i="419"/>
  <c r="A28" i="419"/>
  <c r="A29" i="419"/>
  <c r="A30" i="419"/>
  <c r="A31" i="419"/>
  <c r="A32" i="419"/>
  <c r="A33" i="419"/>
  <c r="A34" i="419"/>
  <c r="A35" i="419"/>
  <c r="A36" i="419"/>
  <c r="A37" i="419"/>
  <c r="A38" i="419"/>
  <c r="A39" i="419"/>
  <c r="A40" i="419"/>
  <c r="A41" i="419"/>
  <c r="A42" i="419"/>
  <c r="A43" i="419"/>
  <c r="A44" i="419"/>
  <c r="A45" i="419"/>
  <c r="A46" i="419"/>
  <c r="A47" i="419"/>
  <c r="A48" i="419"/>
  <c r="A49" i="419"/>
  <c r="A50" i="419"/>
  <c r="A51" i="419"/>
  <c r="A52" i="419"/>
  <c r="A53" i="419"/>
  <c r="A54" i="419"/>
  <c r="A55" i="419"/>
  <c r="A56" i="419"/>
  <c r="A57" i="419"/>
  <c r="A58" i="419"/>
  <c r="A59" i="419"/>
  <c r="A60" i="419"/>
  <c r="A61" i="419"/>
  <c r="A62" i="419"/>
  <c r="A63" i="419"/>
  <c r="A64" i="419"/>
  <c r="A65" i="419"/>
  <c r="A66" i="419"/>
  <c r="A67" i="419"/>
  <c r="A68" i="419"/>
  <c r="A69" i="419"/>
  <c r="A70" i="419"/>
  <c r="A71" i="419"/>
  <c r="A72" i="419"/>
  <c r="A73" i="419"/>
  <c r="A74" i="419"/>
  <c r="A75" i="419"/>
  <c r="A76" i="419"/>
  <c r="A77" i="419"/>
  <c r="A78" i="419"/>
  <c r="A79" i="419"/>
  <c r="A80" i="419"/>
  <c r="A81" i="419"/>
  <c r="A82" i="419"/>
  <c r="A83" i="419"/>
  <c r="A84" i="419"/>
  <c r="A85" i="419"/>
  <c r="A86" i="419"/>
  <c r="A87" i="419"/>
  <c r="A88" i="419"/>
  <c r="A89" i="419"/>
  <c r="A90" i="419"/>
  <c r="A91" i="419"/>
  <c r="A92" i="419"/>
  <c r="A93" i="419"/>
  <c r="A94" i="419"/>
  <c r="A95" i="419"/>
  <c r="A96" i="419"/>
  <c r="A97" i="419"/>
  <c r="A98" i="419"/>
  <c r="A99" i="419"/>
  <c r="A100" i="419"/>
  <c r="A101" i="419"/>
  <c r="A102" i="419"/>
  <c r="A103" i="419"/>
  <c r="A104" i="419"/>
  <c r="A105" i="419"/>
  <c r="O104" i="419"/>
  <c r="N104" i="419"/>
  <c r="M104" i="419"/>
  <c r="L104" i="419"/>
  <c r="K104" i="419"/>
  <c r="J104" i="419"/>
  <c r="I104" i="419"/>
  <c r="H104" i="419"/>
  <c r="G104" i="419"/>
  <c r="F104" i="419"/>
  <c r="E104" i="419"/>
  <c r="D104" i="419"/>
  <c r="O103" i="419"/>
  <c r="N103" i="419"/>
  <c r="M103" i="419"/>
  <c r="L103" i="419"/>
  <c r="K103" i="419"/>
  <c r="J103" i="419"/>
  <c r="I103" i="419"/>
  <c r="H103" i="419"/>
  <c r="G103" i="419"/>
  <c r="F103" i="419"/>
  <c r="E103" i="419"/>
  <c r="D103" i="419"/>
  <c r="M6" i="419"/>
  <c r="N6" i="419"/>
  <c r="O6" i="419"/>
  <c r="O102" i="419"/>
  <c r="N102" i="419"/>
  <c r="M102" i="419"/>
  <c r="L102" i="419"/>
  <c r="K102" i="419"/>
  <c r="J102" i="419"/>
  <c r="I102" i="419"/>
  <c r="H102" i="419"/>
  <c r="G102" i="419"/>
  <c r="F102" i="419"/>
  <c r="E102" i="419"/>
  <c r="D102" i="419"/>
  <c r="E8" i="419"/>
  <c r="F8" i="419"/>
  <c r="G8" i="419"/>
  <c r="H8" i="419"/>
  <c r="I8" i="419"/>
  <c r="J8" i="419"/>
  <c r="K8" i="419"/>
  <c r="L8" i="419"/>
  <c r="M8" i="419"/>
  <c r="N8" i="419"/>
  <c r="O8" i="419"/>
  <c r="O44" i="419"/>
  <c r="O66" i="419"/>
  <c r="E15" i="419"/>
  <c r="F15" i="419"/>
  <c r="G15" i="419"/>
  <c r="H15" i="419"/>
  <c r="I15" i="419"/>
  <c r="J15" i="419"/>
  <c r="K15" i="419"/>
  <c r="L15" i="419"/>
  <c r="M15" i="419"/>
  <c r="N15" i="419"/>
  <c r="O15" i="419"/>
  <c r="O52" i="419"/>
  <c r="O73" i="419"/>
  <c r="E16" i="419"/>
  <c r="F16" i="419"/>
  <c r="G16" i="419"/>
  <c r="H16" i="419"/>
  <c r="I16" i="419"/>
  <c r="J16" i="419"/>
  <c r="K16" i="419"/>
  <c r="L16" i="419"/>
  <c r="M16" i="419"/>
  <c r="N16" i="419"/>
  <c r="O16" i="419"/>
  <c r="O53" i="419"/>
  <c r="O74" i="419"/>
  <c r="O55" i="419"/>
  <c r="O76" i="419"/>
  <c r="O101" i="419"/>
  <c r="N44" i="419"/>
  <c r="N66" i="419"/>
  <c r="N52" i="419"/>
  <c r="N73" i="419"/>
  <c r="N53" i="419"/>
  <c r="N74" i="419"/>
  <c r="N55" i="419"/>
  <c r="N76" i="419"/>
  <c r="N101" i="419"/>
  <c r="M44" i="419"/>
  <c r="M66" i="419"/>
  <c r="M52" i="419"/>
  <c r="M73" i="419"/>
  <c r="M53" i="419"/>
  <c r="M74" i="419"/>
  <c r="M55" i="419"/>
  <c r="M76" i="419"/>
  <c r="M101" i="419"/>
  <c r="L44" i="419"/>
  <c r="L66" i="419"/>
  <c r="L52" i="419"/>
  <c r="L73" i="419"/>
  <c r="L53" i="419"/>
  <c r="L74" i="419"/>
  <c r="L55" i="419"/>
  <c r="L76" i="419"/>
  <c r="L101" i="419"/>
  <c r="K44" i="419"/>
  <c r="K66" i="419"/>
  <c r="K52" i="419"/>
  <c r="K73" i="419"/>
  <c r="K53" i="419"/>
  <c r="K74" i="419"/>
  <c r="K55" i="419"/>
  <c r="K76" i="419"/>
  <c r="K101" i="419"/>
  <c r="J44" i="419"/>
  <c r="J66" i="419"/>
  <c r="J52" i="419"/>
  <c r="J73" i="419"/>
  <c r="J53" i="419"/>
  <c r="J74" i="419"/>
  <c r="J55" i="419"/>
  <c r="J76" i="419"/>
  <c r="J101" i="419"/>
  <c r="I44" i="419"/>
  <c r="I66" i="419"/>
  <c r="I52" i="419"/>
  <c r="I73" i="419"/>
  <c r="I53" i="419"/>
  <c r="I74" i="419"/>
  <c r="I55" i="419"/>
  <c r="I76" i="419"/>
  <c r="I101" i="419"/>
  <c r="H44" i="419"/>
  <c r="H66" i="419"/>
  <c r="H52" i="419"/>
  <c r="H73" i="419"/>
  <c r="H53" i="419"/>
  <c r="H74" i="419"/>
  <c r="H55" i="419"/>
  <c r="H76" i="419"/>
  <c r="H101" i="419"/>
  <c r="G44" i="419"/>
  <c r="G66" i="419"/>
  <c r="G52" i="419"/>
  <c r="G73" i="419"/>
  <c r="G53" i="419"/>
  <c r="G74" i="419"/>
  <c r="G55" i="419"/>
  <c r="G76" i="419"/>
  <c r="G101" i="419"/>
  <c r="F44" i="419"/>
  <c r="F66" i="419"/>
  <c r="F52" i="419"/>
  <c r="F73" i="419"/>
  <c r="F53" i="419"/>
  <c r="F74" i="419"/>
  <c r="F55" i="419"/>
  <c r="F76" i="419"/>
  <c r="F101" i="419"/>
  <c r="E44" i="419"/>
  <c r="E66" i="419"/>
  <c r="E52" i="419"/>
  <c r="E73" i="419"/>
  <c r="E53" i="419"/>
  <c r="E74" i="419"/>
  <c r="E55" i="419"/>
  <c r="E76" i="419"/>
  <c r="E101" i="419"/>
  <c r="D44" i="419"/>
  <c r="D66" i="419"/>
  <c r="D52" i="419"/>
  <c r="D73" i="419"/>
  <c r="D53" i="419"/>
  <c r="D74" i="419"/>
  <c r="D55" i="419"/>
  <c r="D76" i="419"/>
  <c r="D101" i="419"/>
  <c r="O7" i="419"/>
  <c r="O45" i="419"/>
  <c r="O54" i="419"/>
  <c r="O56" i="419"/>
  <c r="O100" i="419"/>
  <c r="N7" i="419"/>
  <c r="N45" i="419"/>
  <c r="N54" i="419"/>
  <c r="N56" i="419"/>
  <c r="N100" i="419"/>
  <c r="M7" i="419"/>
  <c r="M45" i="419"/>
  <c r="M54" i="419"/>
  <c r="M56" i="419"/>
  <c r="M100" i="419"/>
  <c r="L7" i="419"/>
  <c r="L45" i="419"/>
  <c r="L54" i="419"/>
  <c r="L56" i="419"/>
  <c r="L100" i="419"/>
  <c r="K7" i="419"/>
  <c r="K45" i="419"/>
  <c r="K54" i="419"/>
  <c r="K56" i="419"/>
  <c r="K100" i="419"/>
  <c r="J7" i="419"/>
  <c r="J45" i="419"/>
  <c r="J54" i="419"/>
  <c r="J56" i="419"/>
  <c r="J100" i="419"/>
  <c r="I7" i="419"/>
  <c r="I45" i="419"/>
  <c r="I54" i="419"/>
  <c r="I56" i="419"/>
  <c r="I100" i="419"/>
  <c r="H7" i="419"/>
  <c r="H45" i="419"/>
  <c r="H54" i="419"/>
  <c r="H56" i="419"/>
  <c r="H100" i="419"/>
  <c r="G7" i="419"/>
  <c r="G45" i="419"/>
  <c r="G54" i="419"/>
  <c r="G56" i="419"/>
  <c r="G100" i="419"/>
  <c r="F7" i="419"/>
  <c r="F45" i="419"/>
  <c r="F54" i="419"/>
  <c r="F56" i="419"/>
  <c r="F100" i="419"/>
  <c r="E7" i="419"/>
  <c r="E45" i="419"/>
  <c r="E54" i="419"/>
  <c r="E56" i="419"/>
  <c r="E100" i="419"/>
  <c r="D45" i="419"/>
  <c r="D54" i="419"/>
  <c r="D56" i="419"/>
  <c r="D100" i="419"/>
  <c r="I46" i="419"/>
  <c r="E10" i="419"/>
  <c r="F10" i="419"/>
  <c r="G10" i="419"/>
  <c r="H10" i="419"/>
  <c r="I10" i="419"/>
  <c r="I47" i="419"/>
  <c r="E11" i="419"/>
  <c r="F11" i="419"/>
  <c r="G11" i="419"/>
  <c r="H11" i="419"/>
  <c r="I11" i="419"/>
  <c r="I48" i="419"/>
  <c r="E12" i="419"/>
  <c r="F12" i="419"/>
  <c r="G12" i="419"/>
  <c r="H12" i="419"/>
  <c r="I12" i="419"/>
  <c r="I49" i="419"/>
  <c r="E13" i="419"/>
  <c r="F13" i="419"/>
  <c r="G13" i="419"/>
  <c r="H13" i="419"/>
  <c r="I13" i="419"/>
  <c r="I50" i="419"/>
  <c r="E14" i="419"/>
  <c r="F14" i="419"/>
  <c r="G14" i="419"/>
  <c r="H14" i="419"/>
  <c r="I14" i="419"/>
  <c r="I51" i="419"/>
  <c r="E17" i="419"/>
  <c r="F17" i="419"/>
  <c r="G17" i="419"/>
  <c r="H17" i="419"/>
  <c r="I17" i="419"/>
  <c r="E18" i="419"/>
  <c r="F18" i="419"/>
  <c r="G18" i="419"/>
  <c r="H18" i="419"/>
  <c r="I18" i="419"/>
  <c r="I58" i="419"/>
  <c r="E20" i="419"/>
  <c r="F20" i="419"/>
  <c r="G20" i="419"/>
  <c r="H20" i="419"/>
  <c r="I20" i="419"/>
  <c r="I59" i="419"/>
  <c r="I60" i="419"/>
  <c r="I61" i="419"/>
  <c r="E23" i="419"/>
  <c r="F23" i="419"/>
  <c r="G23" i="419"/>
  <c r="H23" i="419"/>
  <c r="I23" i="419"/>
  <c r="I62" i="419"/>
  <c r="I63" i="419"/>
  <c r="I5" i="419"/>
  <c r="I67" i="419"/>
  <c r="I68" i="419"/>
  <c r="E19" i="419"/>
  <c r="F19" i="419"/>
  <c r="G19" i="419"/>
  <c r="H19" i="419"/>
  <c r="I19" i="419"/>
  <c r="I69" i="419"/>
  <c r="I70" i="419"/>
  <c r="I71" i="419"/>
  <c r="I72" i="419"/>
  <c r="I75" i="419"/>
  <c r="I64" i="419"/>
  <c r="I65" i="419"/>
  <c r="I78" i="419"/>
  <c r="I79" i="419"/>
  <c r="I80" i="419"/>
  <c r="I81" i="419"/>
  <c r="I99" i="419"/>
  <c r="J46" i="419"/>
  <c r="J10" i="419"/>
  <c r="J47" i="419"/>
  <c r="J11" i="419"/>
  <c r="J48" i="419"/>
  <c r="J12" i="419"/>
  <c r="J49" i="419"/>
  <c r="J13" i="419"/>
  <c r="J50" i="419"/>
  <c r="J14" i="419"/>
  <c r="J51" i="419"/>
  <c r="J17" i="419"/>
  <c r="J18" i="419"/>
  <c r="J58" i="419"/>
  <c r="J20" i="419"/>
  <c r="J59" i="419"/>
  <c r="J60" i="419"/>
  <c r="J61" i="419"/>
  <c r="J23" i="419"/>
  <c r="J62" i="419"/>
  <c r="J63" i="419"/>
  <c r="J5" i="419"/>
  <c r="J67" i="419"/>
  <c r="J68" i="419"/>
  <c r="J19" i="419"/>
  <c r="J69" i="419"/>
  <c r="J70" i="419"/>
  <c r="J71" i="419"/>
  <c r="J72" i="419"/>
  <c r="J75" i="419"/>
  <c r="J64" i="419"/>
  <c r="J65" i="419"/>
  <c r="J78" i="419"/>
  <c r="J79" i="419"/>
  <c r="J80" i="419"/>
  <c r="J81" i="419"/>
  <c r="J99" i="419"/>
  <c r="K46" i="419"/>
  <c r="K10" i="419"/>
  <c r="K47" i="419"/>
  <c r="K11" i="419"/>
  <c r="K48" i="419"/>
  <c r="K12" i="419"/>
  <c r="K49" i="419"/>
  <c r="K13" i="419"/>
  <c r="K50" i="419"/>
  <c r="K14" i="419"/>
  <c r="K51" i="419"/>
  <c r="K17" i="419"/>
  <c r="K18" i="419"/>
  <c r="K58" i="419"/>
  <c r="K20" i="419"/>
  <c r="K59" i="419"/>
  <c r="K60" i="419"/>
  <c r="K61" i="419"/>
  <c r="K23" i="419"/>
  <c r="K62" i="419"/>
  <c r="K63" i="419"/>
  <c r="K5" i="419"/>
  <c r="K67" i="419"/>
  <c r="K68" i="419"/>
  <c r="K19" i="419"/>
  <c r="K69" i="419"/>
  <c r="K70" i="419"/>
  <c r="K71" i="419"/>
  <c r="K72" i="419"/>
  <c r="K75" i="419"/>
  <c r="K64" i="419"/>
  <c r="K65" i="419"/>
  <c r="K78" i="419"/>
  <c r="K79" i="419"/>
  <c r="K80" i="419"/>
  <c r="K81" i="419"/>
  <c r="K99" i="419"/>
  <c r="L46" i="419"/>
  <c r="L10" i="419"/>
  <c r="L47" i="419"/>
  <c r="L11" i="419"/>
  <c r="L48" i="419"/>
  <c r="L12" i="419"/>
  <c r="L49" i="419"/>
  <c r="L13" i="419"/>
  <c r="L50" i="419"/>
  <c r="L14" i="419"/>
  <c r="L51" i="419"/>
  <c r="L17" i="419"/>
  <c r="L18" i="419"/>
  <c r="L58" i="419"/>
  <c r="L20" i="419"/>
  <c r="L59" i="419"/>
  <c r="L60" i="419"/>
  <c r="L61" i="419"/>
  <c r="L62" i="419"/>
  <c r="L63" i="419"/>
  <c r="L5" i="419"/>
  <c r="L67" i="419"/>
  <c r="L68" i="419"/>
  <c r="L19" i="419"/>
  <c r="L69" i="419"/>
  <c r="L70" i="419"/>
  <c r="L71" i="419"/>
  <c r="L72" i="419"/>
  <c r="L75" i="419"/>
  <c r="L64" i="419"/>
  <c r="L65" i="419"/>
  <c r="L78" i="419"/>
  <c r="L79" i="419"/>
  <c r="L80" i="419"/>
  <c r="L81" i="419"/>
  <c r="L99" i="419"/>
  <c r="M46" i="419"/>
  <c r="M10" i="419"/>
  <c r="M47" i="419"/>
  <c r="M11" i="419"/>
  <c r="M48" i="419"/>
  <c r="M12" i="419"/>
  <c r="M49" i="419"/>
  <c r="M13" i="419"/>
  <c r="M50" i="419"/>
  <c r="M14" i="419"/>
  <c r="M51" i="419"/>
  <c r="M17" i="419"/>
  <c r="M18" i="419"/>
  <c r="M58" i="419"/>
  <c r="M20" i="419"/>
  <c r="M59" i="419"/>
  <c r="M60" i="419"/>
  <c r="M61" i="419"/>
  <c r="M62" i="419"/>
  <c r="D46" i="419"/>
  <c r="D47" i="419"/>
  <c r="D48" i="419"/>
  <c r="D49" i="419"/>
  <c r="D50" i="419"/>
  <c r="D51" i="419"/>
  <c r="D58" i="419"/>
  <c r="D59" i="419"/>
  <c r="D60" i="419"/>
  <c r="D61" i="419"/>
  <c r="D62" i="419"/>
  <c r="D63" i="419"/>
  <c r="D88" i="419"/>
  <c r="E46" i="419"/>
  <c r="E47" i="419"/>
  <c r="E48" i="419"/>
  <c r="E49" i="419"/>
  <c r="E50" i="419"/>
  <c r="E51" i="419"/>
  <c r="E58" i="419"/>
  <c r="E59" i="419"/>
  <c r="E60" i="419"/>
  <c r="E61" i="419"/>
  <c r="E62" i="419"/>
  <c r="E63" i="419"/>
  <c r="E88" i="419"/>
  <c r="F46" i="419"/>
  <c r="F47" i="419"/>
  <c r="F48" i="419"/>
  <c r="F49" i="419"/>
  <c r="F50" i="419"/>
  <c r="F51" i="419"/>
  <c r="F58" i="419"/>
  <c r="F59" i="419"/>
  <c r="F60" i="419"/>
  <c r="F61" i="419"/>
  <c r="F62" i="419"/>
  <c r="F63" i="419"/>
  <c r="F88" i="419"/>
  <c r="G46" i="419"/>
  <c r="G47" i="419"/>
  <c r="G48" i="419"/>
  <c r="G49" i="419"/>
  <c r="G50" i="419"/>
  <c r="G51" i="419"/>
  <c r="G58" i="419"/>
  <c r="G59" i="419"/>
  <c r="G60" i="419"/>
  <c r="G61" i="419"/>
  <c r="G62" i="419"/>
  <c r="G63" i="419"/>
  <c r="G88" i="419"/>
  <c r="H46" i="419"/>
  <c r="H47" i="419"/>
  <c r="H48" i="419"/>
  <c r="H49" i="419"/>
  <c r="H50" i="419"/>
  <c r="H51" i="419"/>
  <c r="H58" i="419"/>
  <c r="H59" i="419"/>
  <c r="H60" i="419"/>
  <c r="H61" i="419"/>
  <c r="H62" i="419"/>
  <c r="H63" i="419"/>
  <c r="H88" i="419"/>
  <c r="P88" i="419"/>
  <c r="M37" i="419"/>
  <c r="M63" i="419"/>
  <c r="M5" i="419"/>
  <c r="M67" i="419"/>
  <c r="M68" i="419"/>
  <c r="M19" i="419"/>
  <c r="M69" i="419"/>
  <c r="M70" i="419"/>
  <c r="M71" i="419"/>
  <c r="M72" i="419"/>
  <c r="M75" i="419"/>
  <c r="M64" i="419"/>
  <c r="M65" i="419"/>
  <c r="M78" i="419"/>
  <c r="M79" i="419"/>
  <c r="M80" i="419"/>
  <c r="M81" i="419"/>
  <c r="M99" i="419"/>
  <c r="N46" i="419"/>
  <c r="N10" i="419"/>
  <c r="N47" i="419"/>
  <c r="N11" i="419"/>
  <c r="N48" i="419"/>
  <c r="N12" i="419"/>
  <c r="N49" i="419"/>
  <c r="N13" i="419"/>
  <c r="N50" i="419"/>
  <c r="N14" i="419"/>
  <c r="N51" i="419"/>
  <c r="N17" i="419"/>
  <c r="N18" i="419"/>
  <c r="N58" i="419"/>
  <c r="N20" i="419"/>
  <c r="N59" i="419"/>
  <c r="N60" i="419"/>
  <c r="N61" i="419"/>
  <c r="N24" i="419"/>
  <c r="N62" i="419"/>
  <c r="N37" i="419"/>
  <c r="N63" i="419"/>
  <c r="N5" i="419"/>
  <c r="N67" i="419"/>
  <c r="N68" i="419"/>
  <c r="N19" i="419"/>
  <c r="N69" i="419"/>
  <c r="N70" i="419"/>
  <c r="N71" i="419"/>
  <c r="N72" i="419"/>
  <c r="N75" i="419"/>
  <c r="N64" i="419"/>
  <c r="N65" i="419"/>
  <c r="N78" i="419"/>
  <c r="N79" i="419"/>
  <c r="N80" i="419"/>
  <c r="N81" i="419"/>
  <c r="N99" i="419"/>
  <c r="O46" i="419"/>
  <c r="O10" i="419"/>
  <c r="O47" i="419"/>
  <c r="O11" i="419"/>
  <c r="O48" i="419"/>
  <c r="O12" i="419"/>
  <c r="O49" i="419"/>
  <c r="O13" i="419"/>
  <c r="O50" i="419"/>
  <c r="O14" i="419"/>
  <c r="O51" i="419"/>
  <c r="O17" i="419"/>
  <c r="O18" i="419"/>
  <c r="O58" i="419"/>
  <c r="O20" i="419"/>
  <c r="O59" i="419"/>
  <c r="O60" i="419"/>
  <c r="O61" i="419"/>
  <c r="O24" i="419"/>
  <c r="O62" i="419"/>
  <c r="O37" i="419"/>
  <c r="O63" i="419"/>
  <c r="O5" i="419"/>
  <c r="O67" i="419"/>
  <c r="O68" i="419"/>
  <c r="O19" i="419"/>
  <c r="O69" i="419"/>
  <c r="O70" i="419"/>
  <c r="O71" i="419"/>
  <c r="O72" i="419"/>
  <c r="O75" i="419"/>
  <c r="O64" i="419"/>
  <c r="O65" i="419"/>
  <c r="O78" i="419"/>
  <c r="O79" i="419"/>
  <c r="O80" i="419"/>
  <c r="O81" i="419"/>
  <c r="O99" i="419"/>
  <c r="P99" i="419"/>
  <c r="D67" i="419"/>
  <c r="D68" i="419"/>
  <c r="D69" i="419"/>
  <c r="D70" i="419"/>
  <c r="D71" i="419"/>
  <c r="D72" i="419"/>
  <c r="D75" i="419"/>
  <c r="D64" i="419"/>
  <c r="D65" i="419"/>
  <c r="D78" i="419"/>
  <c r="D79" i="419"/>
  <c r="D80" i="419"/>
  <c r="D81" i="419"/>
  <c r="D98" i="419"/>
  <c r="E5" i="419"/>
  <c r="E67" i="419"/>
  <c r="E68" i="419"/>
  <c r="E69" i="419"/>
  <c r="E70" i="419"/>
  <c r="E71" i="419"/>
  <c r="E72" i="419"/>
  <c r="E75" i="419"/>
  <c r="E64" i="419"/>
  <c r="E65" i="419"/>
  <c r="E78" i="419"/>
  <c r="E79" i="419"/>
  <c r="E80" i="419"/>
  <c r="E81" i="419"/>
  <c r="E98" i="419"/>
  <c r="F5" i="419"/>
  <c r="F67" i="419"/>
  <c r="F68" i="419"/>
  <c r="F69" i="419"/>
  <c r="F70" i="419"/>
  <c r="F71" i="419"/>
  <c r="F72" i="419"/>
  <c r="F75" i="419"/>
  <c r="F64" i="419"/>
  <c r="F65" i="419"/>
  <c r="F78" i="419"/>
  <c r="F79" i="419"/>
  <c r="F80" i="419"/>
  <c r="F81" i="419"/>
  <c r="F98" i="419"/>
  <c r="G5" i="419"/>
  <c r="G67" i="419"/>
  <c r="G68" i="419"/>
  <c r="G69" i="419"/>
  <c r="G70" i="419"/>
  <c r="G71" i="419"/>
  <c r="G72" i="419"/>
  <c r="G75" i="419"/>
  <c r="G64" i="419"/>
  <c r="G65" i="419"/>
  <c r="G78" i="419"/>
  <c r="G79" i="419"/>
  <c r="G80" i="419"/>
  <c r="G81" i="419"/>
  <c r="G98" i="419"/>
  <c r="H5" i="419"/>
  <c r="H67" i="419"/>
  <c r="H68" i="419"/>
  <c r="H69" i="419"/>
  <c r="H70" i="419"/>
  <c r="H71" i="419"/>
  <c r="H72" i="419"/>
  <c r="H75" i="419"/>
  <c r="H64" i="419"/>
  <c r="H65" i="419"/>
  <c r="H78" i="419"/>
  <c r="H79" i="419"/>
  <c r="H80" i="419"/>
  <c r="H81" i="419"/>
  <c r="H98" i="419"/>
  <c r="P98" i="419"/>
  <c r="D94" i="419"/>
  <c r="D82" i="419"/>
  <c r="D83" i="419"/>
  <c r="D84" i="419"/>
  <c r="D85" i="419"/>
  <c r="D86" i="419"/>
  <c r="D87" i="419"/>
  <c r="D96" i="419"/>
  <c r="D97" i="419"/>
  <c r="E94" i="419"/>
  <c r="E82" i="419"/>
  <c r="E83" i="419"/>
  <c r="E84" i="419"/>
  <c r="E85" i="419"/>
  <c r="E86" i="419"/>
  <c r="E26" i="419"/>
  <c r="E87" i="419"/>
  <c r="E96" i="419"/>
  <c r="E97" i="419"/>
  <c r="F94" i="419"/>
  <c r="F82" i="419"/>
  <c r="F83" i="419"/>
  <c r="F84" i="419"/>
  <c r="F85" i="419"/>
  <c r="F86" i="419"/>
  <c r="F26" i="419"/>
  <c r="F87" i="419"/>
  <c r="F96" i="419"/>
  <c r="F97" i="419"/>
  <c r="G94" i="419"/>
  <c r="G82" i="419"/>
  <c r="G83" i="419"/>
  <c r="G84" i="419"/>
  <c r="G85" i="419"/>
  <c r="G86" i="419"/>
  <c r="G26" i="419"/>
  <c r="G87" i="419"/>
  <c r="G96" i="419"/>
  <c r="G97" i="419"/>
  <c r="H94" i="419"/>
  <c r="H82" i="419"/>
  <c r="H83" i="419"/>
  <c r="H84" i="419"/>
  <c r="H85" i="419"/>
  <c r="H86" i="419"/>
  <c r="H26" i="419"/>
  <c r="H87" i="419"/>
  <c r="H96" i="419"/>
  <c r="H97" i="419"/>
  <c r="I94" i="419"/>
  <c r="I82" i="419"/>
  <c r="I83" i="419"/>
  <c r="I84" i="419"/>
  <c r="I85" i="419"/>
  <c r="I86" i="419"/>
  <c r="I26" i="419"/>
  <c r="I87" i="419"/>
  <c r="I96" i="419"/>
  <c r="I97" i="419"/>
  <c r="J94" i="419"/>
  <c r="J82" i="419"/>
  <c r="J83" i="419"/>
  <c r="J84" i="419"/>
  <c r="J85" i="419"/>
  <c r="J86" i="419"/>
  <c r="J26" i="419"/>
  <c r="J87" i="419"/>
  <c r="J96" i="419"/>
  <c r="J97" i="419"/>
  <c r="K94" i="419"/>
  <c r="K82" i="419"/>
  <c r="K83" i="419"/>
  <c r="K84" i="419"/>
  <c r="K85" i="419"/>
  <c r="K86" i="419"/>
  <c r="K26" i="419"/>
  <c r="K87" i="419"/>
  <c r="K96" i="419"/>
  <c r="K97" i="419"/>
  <c r="L94" i="419"/>
  <c r="L82" i="419"/>
  <c r="L83" i="419"/>
  <c r="L84" i="419"/>
  <c r="L85" i="419"/>
  <c r="L86" i="419"/>
  <c r="L26" i="419"/>
  <c r="L87" i="419"/>
  <c r="L96" i="419"/>
  <c r="L97" i="419"/>
  <c r="M94" i="419"/>
  <c r="M82" i="419"/>
  <c r="M83" i="419"/>
  <c r="M84" i="419"/>
  <c r="M85" i="419"/>
  <c r="M86" i="419"/>
  <c r="M26" i="419"/>
  <c r="M87" i="419"/>
  <c r="M96" i="419"/>
  <c r="M97" i="419"/>
  <c r="N94" i="419"/>
  <c r="N82" i="419"/>
  <c r="N83" i="419"/>
  <c r="N84" i="419"/>
  <c r="N85" i="419"/>
  <c r="N27" i="419"/>
  <c r="N86" i="419"/>
  <c r="N26" i="419"/>
  <c r="N87" i="419"/>
  <c r="N96" i="419"/>
  <c r="N97" i="419"/>
  <c r="O94" i="419"/>
  <c r="O82" i="419"/>
  <c r="O83" i="419"/>
  <c r="O84" i="419"/>
  <c r="O85" i="419"/>
  <c r="O27" i="419"/>
  <c r="O86" i="419"/>
  <c r="O26" i="419"/>
  <c r="O87" i="419"/>
  <c r="O96" i="419"/>
  <c r="O97" i="419"/>
  <c r="P97" i="419"/>
  <c r="P96" i="419"/>
  <c r="D95" i="419"/>
  <c r="E95" i="419"/>
  <c r="F95" i="419"/>
  <c r="G95" i="419"/>
  <c r="H95" i="419"/>
  <c r="I95" i="419"/>
  <c r="J95" i="419"/>
  <c r="K95" i="419"/>
  <c r="L95" i="419"/>
  <c r="M95" i="419"/>
  <c r="N95" i="419"/>
  <c r="O95" i="419"/>
  <c r="P95" i="419"/>
  <c r="P94" i="419"/>
  <c r="D90" i="419"/>
  <c r="D91" i="419"/>
  <c r="D93" i="419"/>
  <c r="E90" i="419"/>
  <c r="E91" i="419"/>
  <c r="E93" i="419"/>
  <c r="F90" i="419"/>
  <c r="F91" i="419"/>
  <c r="F93" i="419"/>
  <c r="G90" i="419"/>
  <c r="G91" i="419"/>
  <c r="G93" i="419"/>
  <c r="H90" i="419"/>
  <c r="H91" i="419"/>
  <c r="H93" i="419"/>
  <c r="I90" i="419"/>
  <c r="I91" i="419"/>
  <c r="I93" i="419"/>
  <c r="J90" i="419"/>
  <c r="J91" i="419"/>
  <c r="J93" i="419"/>
  <c r="K90" i="419"/>
  <c r="K91" i="419"/>
  <c r="K93" i="419"/>
  <c r="L90" i="419"/>
  <c r="L91" i="419"/>
  <c r="L93" i="419"/>
  <c r="M90" i="419"/>
  <c r="M91" i="419"/>
  <c r="M93" i="419"/>
  <c r="N90" i="419"/>
  <c r="N91" i="419"/>
  <c r="N93" i="419"/>
  <c r="O90" i="419"/>
  <c r="O91" i="419"/>
  <c r="O93" i="419"/>
  <c r="P93" i="419"/>
  <c r="D92" i="419"/>
  <c r="E92" i="419"/>
  <c r="F92" i="419"/>
  <c r="G92" i="419"/>
  <c r="H92" i="419"/>
  <c r="I92" i="419"/>
  <c r="J92" i="419"/>
  <c r="K92" i="419"/>
  <c r="L92" i="419"/>
  <c r="M92" i="419"/>
  <c r="N92" i="419"/>
  <c r="O92" i="419"/>
  <c r="P92" i="419"/>
  <c r="P91" i="419"/>
  <c r="P90" i="419"/>
  <c r="I89" i="419"/>
  <c r="J89" i="419"/>
  <c r="K89" i="419"/>
  <c r="L89" i="419"/>
  <c r="M89" i="419"/>
  <c r="N89" i="419"/>
  <c r="O89" i="419"/>
  <c r="P89" i="419"/>
  <c r="P87" i="419"/>
  <c r="P85" i="419"/>
  <c r="P84" i="419"/>
  <c r="P83" i="419"/>
  <c r="P82" i="419"/>
  <c r="P81" i="419"/>
  <c r="P80" i="419"/>
  <c r="P79" i="419"/>
  <c r="P78" i="419"/>
  <c r="P77" i="419"/>
  <c r="P76" i="419"/>
  <c r="P75" i="419"/>
  <c r="P74" i="419"/>
  <c r="P73" i="419"/>
  <c r="P72" i="419"/>
  <c r="P71" i="419"/>
  <c r="P70" i="419"/>
  <c r="P69" i="419"/>
  <c r="P68" i="419"/>
  <c r="P67" i="419"/>
  <c r="P66" i="419"/>
  <c r="P65" i="419"/>
  <c r="P64" i="419"/>
  <c r="P63" i="419"/>
  <c r="P62" i="419"/>
  <c r="P61" i="419"/>
  <c r="P60" i="419"/>
  <c r="P59" i="419"/>
  <c r="P58" i="419"/>
  <c r="P57" i="419"/>
  <c r="P56" i="419"/>
  <c r="P55" i="419"/>
  <c r="P54" i="419"/>
  <c r="P53" i="419"/>
  <c r="P52" i="419"/>
  <c r="P51" i="419"/>
  <c r="P50" i="419"/>
  <c r="P49" i="419"/>
  <c r="P48" i="419"/>
  <c r="P47" i="419"/>
  <c r="P46" i="419"/>
  <c r="P45" i="419"/>
  <c r="P44" i="419"/>
  <c r="O2" i="419"/>
  <c r="O43" i="419"/>
  <c r="N2" i="419"/>
  <c r="N43" i="419"/>
  <c r="M2" i="419"/>
  <c r="M43" i="419"/>
  <c r="L2" i="419"/>
  <c r="L43" i="419"/>
  <c r="K2" i="419"/>
  <c r="K43" i="419"/>
  <c r="J2" i="419"/>
  <c r="J43" i="419"/>
  <c r="I2" i="419"/>
  <c r="I43" i="419"/>
  <c r="H2" i="419"/>
  <c r="H43" i="419"/>
  <c r="G2" i="419"/>
  <c r="G43" i="419"/>
  <c r="F2" i="419"/>
  <c r="F43" i="419"/>
  <c r="E2" i="419"/>
  <c r="E43" i="419"/>
  <c r="D2" i="419"/>
  <c r="D43" i="419"/>
  <c r="C43" i="419"/>
  <c r="L23" i="419"/>
  <c r="E1" i="419"/>
  <c r="F1" i="419"/>
  <c r="G1" i="419"/>
  <c r="H1" i="419"/>
  <c r="I1" i="419"/>
  <c r="J1" i="419"/>
  <c r="K1" i="419"/>
  <c r="L1" i="419"/>
  <c r="M1" i="419"/>
  <c r="N1" i="419"/>
  <c r="O1" i="419"/>
  <c r="S56" i="270"/>
  <c r="S57" i="270"/>
  <c r="S58" i="270"/>
  <c r="E65" i="173"/>
  <c r="F65" i="173"/>
  <c r="G65" i="173"/>
  <c r="H65" i="173"/>
  <c r="I65" i="173"/>
  <c r="J65" i="173"/>
  <c r="K65" i="173"/>
  <c r="L65" i="173"/>
  <c r="M65" i="173"/>
  <c r="N65" i="173"/>
  <c r="O65" i="173"/>
  <c r="D65" i="173"/>
  <c r="E95" i="63"/>
  <c r="F95" i="63"/>
  <c r="G95" i="63"/>
  <c r="H95" i="63"/>
  <c r="I95" i="63"/>
  <c r="J95" i="63"/>
  <c r="K95" i="63"/>
  <c r="L95" i="63"/>
  <c r="M95" i="63"/>
  <c r="N95" i="63"/>
  <c r="O95" i="63"/>
  <c r="D95" i="63"/>
  <c r="E95" i="18"/>
  <c r="F95" i="18"/>
  <c r="G95" i="18"/>
  <c r="H95" i="18"/>
  <c r="I95" i="18"/>
  <c r="J95" i="18"/>
  <c r="K95" i="18"/>
  <c r="L95" i="18"/>
  <c r="M95" i="18"/>
  <c r="N95" i="18"/>
  <c r="O95" i="18"/>
  <c r="D95" i="18"/>
  <c r="E95" i="219"/>
  <c r="F95" i="219"/>
  <c r="G95" i="219"/>
  <c r="H95" i="219"/>
  <c r="I95" i="219"/>
  <c r="J95" i="219"/>
  <c r="K95" i="219"/>
  <c r="L95" i="219"/>
  <c r="M95" i="219"/>
  <c r="N95" i="219"/>
  <c r="O95" i="219"/>
  <c r="D95" i="219"/>
  <c r="E95" i="371"/>
  <c r="F95" i="371"/>
  <c r="G95" i="371"/>
  <c r="H95" i="371"/>
  <c r="I95" i="371"/>
  <c r="J95" i="371"/>
  <c r="K95" i="371"/>
  <c r="L95" i="371"/>
  <c r="M95" i="371"/>
  <c r="N95" i="371"/>
  <c r="O95" i="371"/>
  <c r="D95" i="371"/>
  <c r="E7" i="173"/>
  <c r="F7" i="173"/>
  <c r="G7" i="173"/>
  <c r="H7" i="173"/>
  <c r="I7" i="173"/>
  <c r="J7" i="173"/>
  <c r="K7" i="173"/>
  <c r="E4" i="173"/>
  <c r="E9" i="173"/>
  <c r="E34" i="173"/>
  <c r="E35" i="173"/>
  <c r="E36" i="173"/>
  <c r="E37" i="173"/>
  <c r="E48" i="173"/>
  <c r="F4" i="173"/>
  <c r="F9" i="173"/>
  <c r="F34" i="173"/>
  <c r="F35" i="173"/>
  <c r="F36" i="173"/>
  <c r="F37" i="173"/>
  <c r="F48" i="173"/>
  <c r="G4" i="173"/>
  <c r="G9" i="173"/>
  <c r="G34" i="173"/>
  <c r="G35" i="173"/>
  <c r="G36" i="173"/>
  <c r="G37" i="173"/>
  <c r="G48" i="173"/>
  <c r="H4" i="173"/>
  <c r="H9" i="173"/>
  <c r="H34" i="173"/>
  <c r="H35" i="173"/>
  <c r="H36" i="173"/>
  <c r="H37" i="173"/>
  <c r="H48" i="173"/>
  <c r="I4" i="173"/>
  <c r="I9" i="173"/>
  <c r="I34" i="173"/>
  <c r="I35" i="173"/>
  <c r="I36" i="173"/>
  <c r="I37" i="173"/>
  <c r="I48" i="173"/>
  <c r="J4" i="173"/>
  <c r="J9" i="173"/>
  <c r="J34" i="173"/>
  <c r="J35" i="173"/>
  <c r="J36" i="173"/>
  <c r="J37" i="173"/>
  <c r="J48" i="173"/>
  <c r="K4" i="173"/>
  <c r="K9" i="173"/>
  <c r="K34" i="173"/>
  <c r="K35" i="173"/>
  <c r="K36" i="173"/>
  <c r="K37" i="173"/>
  <c r="K48" i="173"/>
  <c r="L4" i="173"/>
  <c r="L9" i="173"/>
  <c r="L34" i="173"/>
  <c r="L35" i="173"/>
  <c r="L36" i="173"/>
  <c r="L37" i="173"/>
  <c r="L48" i="173"/>
  <c r="M4" i="173"/>
  <c r="M7" i="173"/>
  <c r="M9" i="173"/>
  <c r="M34" i="173"/>
  <c r="M35" i="173"/>
  <c r="M36" i="173"/>
  <c r="M37" i="173"/>
  <c r="M48" i="173"/>
  <c r="N4" i="173"/>
  <c r="N7" i="173"/>
  <c r="N9" i="173"/>
  <c r="N34" i="173"/>
  <c r="N35" i="173"/>
  <c r="N36" i="173"/>
  <c r="N37" i="173"/>
  <c r="N48" i="173"/>
  <c r="O4" i="173"/>
  <c r="O7" i="173"/>
  <c r="O9" i="173"/>
  <c r="O34" i="173"/>
  <c r="O35" i="173"/>
  <c r="O36" i="173"/>
  <c r="O37" i="173"/>
  <c r="O48" i="173"/>
  <c r="D34" i="173"/>
  <c r="D35" i="173"/>
  <c r="D37" i="173"/>
  <c r="D36" i="173"/>
  <c r="D48" i="173"/>
  <c r="O38" i="173"/>
  <c r="O39" i="173"/>
  <c r="O40" i="173"/>
  <c r="D38" i="173"/>
  <c r="D39" i="173"/>
  <c r="D40" i="173"/>
  <c r="D41" i="173"/>
  <c r="D58" i="173"/>
  <c r="E38" i="173"/>
  <c r="E39" i="173"/>
  <c r="E40" i="173"/>
  <c r="E58" i="173"/>
  <c r="F38" i="173"/>
  <c r="F39" i="173"/>
  <c r="F40" i="173"/>
  <c r="F58" i="173"/>
  <c r="G38" i="173"/>
  <c r="G39" i="173"/>
  <c r="G40" i="173"/>
  <c r="G58" i="173"/>
  <c r="H38" i="173"/>
  <c r="H39" i="173"/>
  <c r="H40" i="173"/>
  <c r="H58" i="173"/>
  <c r="P58" i="173"/>
  <c r="M27" i="173"/>
  <c r="N27" i="173"/>
  <c r="O27" i="173"/>
  <c r="O41" i="173"/>
  <c r="O44" i="173"/>
  <c r="O45" i="173"/>
  <c r="O46" i="173"/>
  <c r="O47" i="173"/>
  <c r="O49" i="173"/>
  <c r="O50" i="173"/>
  <c r="O51" i="173"/>
  <c r="O69" i="173"/>
  <c r="N38" i="173"/>
  <c r="N39" i="173"/>
  <c r="N40" i="173"/>
  <c r="N41" i="173"/>
  <c r="N44" i="173"/>
  <c r="N45" i="173"/>
  <c r="N46" i="173"/>
  <c r="N47" i="173"/>
  <c r="N49" i="173"/>
  <c r="N50" i="173"/>
  <c r="N51" i="173"/>
  <c r="N69" i="173"/>
  <c r="M38" i="173"/>
  <c r="M39" i="173"/>
  <c r="M40" i="173"/>
  <c r="M41" i="173"/>
  <c r="M44" i="173"/>
  <c r="M45" i="173"/>
  <c r="M46" i="173"/>
  <c r="M47" i="173"/>
  <c r="M49" i="173"/>
  <c r="M50" i="173"/>
  <c r="M51" i="173"/>
  <c r="M69" i="173"/>
  <c r="L38" i="173"/>
  <c r="L39" i="173"/>
  <c r="L40" i="173"/>
  <c r="L44" i="173"/>
  <c r="L45" i="173"/>
  <c r="L46" i="173"/>
  <c r="L47" i="173"/>
  <c r="L49" i="173"/>
  <c r="L50" i="173"/>
  <c r="L51" i="173"/>
  <c r="L69" i="173"/>
  <c r="K38" i="173"/>
  <c r="K39" i="173"/>
  <c r="K40" i="173"/>
  <c r="K44" i="173"/>
  <c r="K45" i="173"/>
  <c r="K46" i="173"/>
  <c r="K47" i="173"/>
  <c r="K49" i="173"/>
  <c r="K50" i="173"/>
  <c r="K51" i="173"/>
  <c r="K69" i="173"/>
  <c r="J38" i="173"/>
  <c r="J39" i="173"/>
  <c r="J40" i="173"/>
  <c r="J44" i="173"/>
  <c r="J45" i="173"/>
  <c r="J46" i="173"/>
  <c r="J47" i="173"/>
  <c r="J49" i="173"/>
  <c r="J50" i="173"/>
  <c r="J51" i="173"/>
  <c r="J69" i="173"/>
  <c r="I38" i="173"/>
  <c r="I39" i="173"/>
  <c r="I40" i="173"/>
  <c r="I44" i="173"/>
  <c r="I45" i="173"/>
  <c r="I46" i="173"/>
  <c r="I47" i="173"/>
  <c r="I49" i="173"/>
  <c r="I50" i="173"/>
  <c r="I51" i="173"/>
  <c r="I69" i="173"/>
  <c r="H44" i="173"/>
  <c r="H45" i="173"/>
  <c r="H46" i="173"/>
  <c r="H47" i="173"/>
  <c r="H49" i="173"/>
  <c r="H50" i="173"/>
  <c r="H51" i="173"/>
  <c r="H68" i="173"/>
  <c r="G44" i="173"/>
  <c r="G45" i="173"/>
  <c r="G46" i="173"/>
  <c r="G47" i="173"/>
  <c r="G49" i="173"/>
  <c r="G50" i="173"/>
  <c r="G51" i="173"/>
  <c r="G68" i="173"/>
  <c r="F44" i="173"/>
  <c r="F45" i="173"/>
  <c r="F46" i="173"/>
  <c r="F47" i="173"/>
  <c r="F49" i="173"/>
  <c r="F50" i="173"/>
  <c r="F51" i="173"/>
  <c r="F68" i="173"/>
  <c r="E44" i="173"/>
  <c r="E45" i="173"/>
  <c r="E46" i="173"/>
  <c r="E47" i="173"/>
  <c r="E49" i="173"/>
  <c r="E50" i="173"/>
  <c r="E51" i="173"/>
  <c r="E68" i="173"/>
  <c r="D44" i="173"/>
  <c r="D45" i="173"/>
  <c r="D46" i="173"/>
  <c r="D47" i="173"/>
  <c r="D49" i="173"/>
  <c r="D50" i="173"/>
  <c r="D51" i="173"/>
  <c r="D68" i="173"/>
  <c r="A13" i="173"/>
  <c r="M24" i="371"/>
  <c r="D23" i="219"/>
  <c r="I80" i="219"/>
  <c r="I66" i="219"/>
  <c r="I76" i="219"/>
  <c r="I77" i="219"/>
  <c r="I65" i="219"/>
  <c r="I78" i="219"/>
  <c r="I79" i="219"/>
  <c r="I81" i="219"/>
  <c r="I99" i="219"/>
  <c r="J80" i="219"/>
  <c r="J66" i="219"/>
  <c r="J76" i="219"/>
  <c r="J77" i="219"/>
  <c r="J65" i="219"/>
  <c r="J78" i="219"/>
  <c r="J79" i="219"/>
  <c r="J81" i="219"/>
  <c r="J99" i="219"/>
  <c r="K80" i="219"/>
  <c r="K66" i="219"/>
  <c r="K76" i="219"/>
  <c r="K77" i="219"/>
  <c r="K65" i="219"/>
  <c r="K78" i="219"/>
  <c r="K79" i="219"/>
  <c r="K81" i="219"/>
  <c r="K99" i="219"/>
  <c r="L80" i="219"/>
  <c r="L66" i="219"/>
  <c r="L76" i="219"/>
  <c r="L77" i="219"/>
  <c r="L65" i="219"/>
  <c r="L78" i="219"/>
  <c r="L79" i="219"/>
  <c r="L81" i="219"/>
  <c r="L99" i="219"/>
  <c r="E23" i="219"/>
  <c r="F23" i="219"/>
  <c r="G23" i="219"/>
  <c r="H23" i="219"/>
  <c r="M65" i="219"/>
  <c r="M78" i="219"/>
  <c r="M66" i="219"/>
  <c r="M76" i="219"/>
  <c r="M77" i="219"/>
  <c r="M79" i="219"/>
  <c r="M80" i="219"/>
  <c r="M81" i="219"/>
  <c r="M99" i="219"/>
  <c r="N24" i="219"/>
  <c r="N65" i="219"/>
  <c r="N78" i="219"/>
  <c r="N66" i="219"/>
  <c r="N76" i="219"/>
  <c r="N77" i="219"/>
  <c r="N79" i="219"/>
  <c r="N80" i="219"/>
  <c r="N81" i="219"/>
  <c r="N99" i="219"/>
  <c r="O24" i="219"/>
  <c r="O65" i="219"/>
  <c r="O78" i="219"/>
  <c r="O66" i="219"/>
  <c r="O76" i="219"/>
  <c r="O77" i="219"/>
  <c r="O79" i="219"/>
  <c r="O80" i="219"/>
  <c r="O81" i="219"/>
  <c r="O99" i="219"/>
  <c r="P99" i="219"/>
  <c r="C98" i="371"/>
  <c r="E4" i="371"/>
  <c r="F4" i="371"/>
  <c r="G4" i="371"/>
  <c r="H4" i="371"/>
  <c r="I4" i="371"/>
  <c r="J4" i="371"/>
  <c r="K4" i="371"/>
  <c r="L4" i="371"/>
  <c r="M4" i="371"/>
  <c r="N4" i="371"/>
  <c r="O4" i="371"/>
  <c r="E10" i="371"/>
  <c r="F10" i="371"/>
  <c r="G10" i="371"/>
  <c r="H10" i="371"/>
  <c r="I10" i="371"/>
  <c r="J10" i="371"/>
  <c r="K10" i="371"/>
  <c r="L10" i="371"/>
  <c r="M10" i="371"/>
  <c r="N10" i="371"/>
  <c r="O10" i="371"/>
  <c r="O105" i="371"/>
  <c r="N105" i="371"/>
  <c r="M105" i="371"/>
  <c r="L105" i="371"/>
  <c r="K105" i="371"/>
  <c r="J105" i="371"/>
  <c r="I105" i="371"/>
  <c r="H105" i="371"/>
  <c r="G105" i="371"/>
  <c r="F105" i="371"/>
  <c r="E105" i="371"/>
  <c r="D105" i="371"/>
  <c r="A2" i="371"/>
  <c r="A3" i="371"/>
  <c r="A4" i="371"/>
  <c r="A5" i="371"/>
  <c r="A6" i="371"/>
  <c r="A7" i="371"/>
  <c r="A8" i="371"/>
  <c r="A9" i="371"/>
  <c r="A10" i="371"/>
  <c r="A11" i="371"/>
  <c r="A12" i="371"/>
  <c r="A13" i="371"/>
  <c r="A14" i="371"/>
  <c r="A15" i="371"/>
  <c r="A16" i="371"/>
  <c r="A17" i="371"/>
  <c r="A18" i="371"/>
  <c r="A19" i="371"/>
  <c r="A20" i="371"/>
  <c r="A21" i="371"/>
  <c r="A22" i="371"/>
  <c r="A23" i="371"/>
  <c r="A24" i="371"/>
  <c r="A25" i="371"/>
  <c r="A26" i="371"/>
  <c r="A27" i="371"/>
  <c r="A28" i="371"/>
  <c r="A29" i="371"/>
  <c r="A30" i="371"/>
  <c r="A31" i="371"/>
  <c r="A32" i="371"/>
  <c r="A33" i="371"/>
  <c r="A34" i="371"/>
  <c r="A35" i="371"/>
  <c r="A36" i="371"/>
  <c r="A37" i="371"/>
  <c r="A38" i="371"/>
  <c r="A39" i="371"/>
  <c r="A40" i="371"/>
  <c r="A41" i="371"/>
  <c r="A42" i="371"/>
  <c r="A43" i="371"/>
  <c r="A44" i="371"/>
  <c r="A45" i="371"/>
  <c r="A46" i="371"/>
  <c r="A47" i="371"/>
  <c r="A48" i="371"/>
  <c r="A49" i="371"/>
  <c r="A50" i="371"/>
  <c r="A51" i="371"/>
  <c r="A52" i="371"/>
  <c r="A53" i="371"/>
  <c r="A54" i="371"/>
  <c r="A55" i="371"/>
  <c r="A56" i="371"/>
  <c r="A57" i="371"/>
  <c r="A58" i="371"/>
  <c r="A59" i="371"/>
  <c r="A60" i="371"/>
  <c r="A61" i="371"/>
  <c r="A62" i="371"/>
  <c r="A63" i="371"/>
  <c r="A64" i="371"/>
  <c r="A65" i="371"/>
  <c r="A66" i="371"/>
  <c r="A67" i="371"/>
  <c r="A68" i="371"/>
  <c r="A69" i="371"/>
  <c r="A70" i="371"/>
  <c r="A71" i="371"/>
  <c r="A72" i="371"/>
  <c r="A73" i="371"/>
  <c r="A74" i="371"/>
  <c r="A75" i="371"/>
  <c r="A76" i="371"/>
  <c r="A77" i="371"/>
  <c r="A78" i="371"/>
  <c r="A79" i="371"/>
  <c r="A80" i="371"/>
  <c r="A81" i="371"/>
  <c r="A82" i="371"/>
  <c r="A83" i="371"/>
  <c r="A84" i="371"/>
  <c r="A85" i="371"/>
  <c r="A86" i="371"/>
  <c r="A87" i="371"/>
  <c r="A88" i="371"/>
  <c r="A89" i="371"/>
  <c r="A90" i="371"/>
  <c r="A91" i="371"/>
  <c r="A92" i="371"/>
  <c r="A93" i="371"/>
  <c r="A94" i="371"/>
  <c r="A95" i="371"/>
  <c r="A96" i="371"/>
  <c r="A97" i="371"/>
  <c r="A98" i="371"/>
  <c r="A99" i="371"/>
  <c r="A100" i="371"/>
  <c r="A101" i="371"/>
  <c r="A102" i="371"/>
  <c r="A103" i="371"/>
  <c r="A104" i="371"/>
  <c r="A105" i="371"/>
  <c r="O104" i="371"/>
  <c r="N104" i="371"/>
  <c r="M104" i="371"/>
  <c r="L104" i="371"/>
  <c r="K104" i="371"/>
  <c r="J104" i="371"/>
  <c r="I104" i="371"/>
  <c r="H104" i="371"/>
  <c r="G104" i="371"/>
  <c r="F104" i="371"/>
  <c r="E104" i="371"/>
  <c r="D104" i="371"/>
  <c r="M7" i="371"/>
  <c r="N7" i="371"/>
  <c r="O7" i="371"/>
  <c r="O103" i="371"/>
  <c r="N103" i="371"/>
  <c r="M103" i="371"/>
  <c r="L103" i="371"/>
  <c r="K103" i="371"/>
  <c r="J103" i="371"/>
  <c r="I103" i="371"/>
  <c r="H103" i="371"/>
  <c r="G103" i="371"/>
  <c r="F103" i="371"/>
  <c r="E103" i="371"/>
  <c r="D103" i="371"/>
  <c r="O102" i="371"/>
  <c r="N102" i="371"/>
  <c r="M102" i="371"/>
  <c r="L102" i="371"/>
  <c r="K102" i="371"/>
  <c r="J102" i="371"/>
  <c r="I102" i="371"/>
  <c r="H102" i="371"/>
  <c r="G102" i="371"/>
  <c r="F102" i="371"/>
  <c r="E102" i="371"/>
  <c r="D102" i="371"/>
  <c r="E9" i="371"/>
  <c r="F9" i="371"/>
  <c r="G9" i="371"/>
  <c r="H9" i="371"/>
  <c r="I9" i="371"/>
  <c r="J9" i="371"/>
  <c r="K9" i="371"/>
  <c r="L9" i="371"/>
  <c r="M9" i="371"/>
  <c r="N9" i="371"/>
  <c r="O9" i="371"/>
  <c r="O6" i="371"/>
  <c r="E16" i="371"/>
  <c r="F16" i="371"/>
  <c r="G16" i="371"/>
  <c r="H16" i="371"/>
  <c r="I16" i="371"/>
  <c r="J16" i="371"/>
  <c r="K16" i="371"/>
  <c r="L16" i="371"/>
  <c r="M16" i="371"/>
  <c r="N16" i="371"/>
  <c r="O16" i="371"/>
  <c r="E19" i="371"/>
  <c r="F19" i="371"/>
  <c r="G19" i="371"/>
  <c r="H19" i="371"/>
  <c r="I19" i="371"/>
  <c r="J19" i="371"/>
  <c r="K19" i="371"/>
  <c r="L19" i="371"/>
  <c r="M19" i="371"/>
  <c r="N19" i="371"/>
  <c r="O19" i="371"/>
  <c r="E17" i="371"/>
  <c r="F17" i="371"/>
  <c r="G17" i="371"/>
  <c r="H17" i="371"/>
  <c r="I17" i="371"/>
  <c r="J17" i="371"/>
  <c r="K17" i="371"/>
  <c r="L17" i="371"/>
  <c r="M17" i="371"/>
  <c r="N17" i="371"/>
  <c r="O17" i="371"/>
  <c r="E5" i="371"/>
  <c r="F5" i="371"/>
  <c r="G5" i="371"/>
  <c r="H5" i="371"/>
  <c r="I5" i="371"/>
  <c r="J5" i="371"/>
  <c r="K5" i="371"/>
  <c r="L5" i="371"/>
  <c r="M5" i="371"/>
  <c r="N5" i="371"/>
  <c r="O5" i="371"/>
  <c r="O101" i="371"/>
  <c r="N6" i="371"/>
  <c r="N101" i="371"/>
  <c r="M6" i="371"/>
  <c r="M101" i="371"/>
  <c r="L6" i="371"/>
  <c r="L101" i="371"/>
  <c r="K6" i="371"/>
  <c r="K101" i="371"/>
  <c r="J6" i="371"/>
  <c r="J101" i="371"/>
  <c r="I6" i="371"/>
  <c r="I101" i="371"/>
  <c r="H6" i="371"/>
  <c r="H66" i="371"/>
  <c r="H73" i="371"/>
  <c r="H74" i="371"/>
  <c r="H76" i="371"/>
  <c r="H77" i="371"/>
  <c r="H101" i="371"/>
  <c r="G6" i="371"/>
  <c r="G66" i="371"/>
  <c r="G73" i="371"/>
  <c r="G74" i="371"/>
  <c r="G76" i="371"/>
  <c r="G77" i="371"/>
  <c r="G101" i="371"/>
  <c r="F6" i="371"/>
  <c r="F66" i="371"/>
  <c r="F73" i="371"/>
  <c r="F74" i="371"/>
  <c r="F76" i="371"/>
  <c r="F77" i="371"/>
  <c r="F101" i="371"/>
  <c r="E6" i="371"/>
  <c r="E66" i="371"/>
  <c r="E73" i="371"/>
  <c r="E74" i="371"/>
  <c r="E76" i="371"/>
  <c r="E77" i="371"/>
  <c r="E101" i="371"/>
  <c r="D66" i="371"/>
  <c r="D52" i="371"/>
  <c r="D73" i="371"/>
  <c r="D53" i="371"/>
  <c r="D74" i="371"/>
  <c r="D76" i="371"/>
  <c r="D77" i="371"/>
  <c r="D101" i="371"/>
  <c r="O8" i="371"/>
  <c r="E18" i="371"/>
  <c r="F18" i="371"/>
  <c r="G18" i="371"/>
  <c r="H18" i="371"/>
  <c r="I18" i="371"/>
  <c r="J18" i="371"/>
  <c r="K18" i="371"/>
  <c r="L18" i="371"/>
  <c r="M18" i="371"/>
  <c r="N18" i="371"/>
  <c r="O18" i="371"/>
  <c r="O100" i="371"/>
  <c r="N8" i="371"/>
  <c r="N100" i="371"/>
  <c r="M8" i="371"/>
  <c r="M100" i="371"/>
  <c r="L8" i="371"/>
  <c r="L100" i="371"/>
  <c r="K8" i="371"/>
  <c r="K100" i="371"/>
  <c r="J8" i="371"/>
  <c r="J100" i="371"/>
  <c r="I8" i="371"/>
  <c r="I100" i="371"/>
  <c r="H8" i="371"/>
  <c r="H100" i="371"/>
  <c r="G8" i="371"/>
  <c r="G100" i="371"/>
  <c r="F8" i="371"/>
  <c r="F100" i="371"/>
  <c r="E8" i="371"/>
  <c r="E100" i="371"/>
  <c r="D54" i="371"/>
  <c r="D100" i="371"/>
  <c r="E11" i="371"/>
  <c r="F11" i="371"/>
  <c r="G11" i="371"/>
  <c r="H11" i="371"/>
  <c r="I11" i="371"/>
  <c r="E12" i="371"/>
  <c r="F12" i="371"/>
  <c r="G12" i="371"/>
  <c r="H12" i="371"/>
  <c r="I12" i="371"/>
  <c r="E13" i="371"/>
  <c r="F13" i="371"/>
  <c r="G13" i="371"/>
  <c r="H13" i="371"/>
  <c r="I13" i="371"/>
  <c r="E14" i="371"/>
  <c r="F14" i="371"/>
  <c r="G14" i="371"/>
  <c r="H14" i="371"/>
  <c r="I14" i="371"/>
  <c r="E15" i="371"/>
  <c r="F15" i="371"/>
  <c r="G15" i="371"/>
  <c r="H15" i="371"/>
  <c r="I15" i="371"/>
  <c r="E20" i="371"/>
  <c r="F20" i="371"/>
  <c r="G20" i="371"/>
  <c r="H20" i="371"/>
  <c r="I20" i="371"/>
  <c r="E23" i="371"/>
  <c r="F23" i="371"/>
  <c r="G23" i="371"/>
  <c r="H23" i="371"/>
  <c r="I23" i="371"/>
  <c r="I63" i="371"/>
  <c r="I64" i="371"/>
  <c r="J11" i="371"/>
  <c r="J12" i="371"/>
  <c r="J13" i="371"/>
  <c r="J14" i="371"/>
  <c r="J15" i="371"/>
  <c r="J20" i="371"/>
  <c r="J23" i="371"/>
  <c r="J63" i="371"/>
  <c r="J64" i="371"/>
  <c r="K11" i="371"/>
  <c r="K12" i="371"/>
  <c r="K13" i="371"/>
  <c r="K14" i="371"/>
  <c r="K15" i="371"/>
  <c r="K20" i="371"/>
  <c r="K23" i="371"/>
  <c r="K63" i="371"/>
  <c r="K64" i="371"/>
  <c r="L11" i="371"/>
  <c r="L12" i="371"/>
  <c r="L13" i="371"/>
  <c r="L14" i="371"/>
  <c r="L15" i="371"/>
  <c r="L20" i="371"/>
  <c r="L63" i="371"/>
  <c r="L64" i="371"/>
  <c r="M11" i="371"/>
  <c r="M12" i="371"/>
  <c r="M13" i="371"/>
  <c r="M14" i="371"/>
  <c r="M15" i="371"/>
  <c r="M20" i="371"/>
  <c r="D46" i="371"/>
  <c r="D47" i="371"/>
  <c r="D48" i="371"/>
  <c r="D49" i="371"/>
  <c r="D50" i="371"/>
  <c r="D51" i="371"/>
  <c r="D59" i="371"/>
  <c r="D60" i="371"/>
  <c r="D63" i="371"/>
  <c r="E63" i="371"/>
  <c r="F63" i="371"/>
  <c r="G63" i="371"/>
  <c r="H63" i="371"/>
  <c r="M64" i="371"/>
  <c r="N11" i="371"/>
  <c r="N12" i="371"/>
  <c r="N13" i="371"/>
  <c r="N14" i="371"/>
  <c r="N15" i="371"/>
  <c r="N20" i="371"/>
  <c r="N24" i="371"/>
  <c r="N64" i="371"/>
  <c r="O11" i="371"/>
  <c r="O12" i="371"/>
  <c r="O13" i="371"/>
  <c r="O14" i="371"/>
  <c r="O15" i="371"/>
  <c r="O20" i="371"/>
  <c r="O24" i="371"/>
  <c r="O64" i="371"/>
  <c r="D67" i="371"/>
  <c r="D68" i="371"/>
  <c r="D69" i="371"/>
  <c r="D70" i="371"/>
  <c r="D71" i="371"/>
  <c r="D72" i="371"/>
  <c r="D75" i="371"/>
  <c r="D64" i="371"/>
  <c r="D65" i="371"/>
  <c r="D78" i="371"/>
  <c r="D79" i="371"/>
  <c r="D80" i="371"/>
  <c r="D81" i="371"/>
  <c r="D98" i="371"/>
  <c r="E67" i="371"/>
  <c r="E68" i="371"/>
  <c r="E69" i="371"/>
  <c r="E70" i="371"/>
  <c r="E71" i="371"/>
  <c r="E72" i="371"/>
  <c r="E75" i="371"/>
  <c r="E64" i="371"/>
  <c r="E65" i="371"/>
  <c r="E78" i="371"/>
  <c r="E79" i="371"/>
  <c r="E80" i="371"/>
  <c r="E81" i="371"/>
  <c r="E98" i="371"/>
  <c r="F67" i="371"/>
  <c r="F68" i="371"/>
  <c r="F69" i="371"/>
  <c r="F70" i="371"/>
  <c r="F71" i="371"/>
  <c r="F72" i="371"/>
  <c r="F75" i="371"/>
  <c r="F64" i="371"/>
  <c r="F65" i="371"/>
  <c r="F78" i="371"/>
  <c r="F79" i="371"/>
  <c r="F80" i="371"/>
  <c r="F81" i="371"/>
  <c r="F98" i="371"/>
  <c r="G67" i="371"/>
  <c r="G68" i="371"/>
  <c r="G69" i="371"/>
  <c r="G70" i="371"/>
  <c r="G71" i="371"/>
  <c r="G72" i="371"/>
  <c r="G75" i="371"/>
  <c r="G64" i="371"/>
  <c r="G65" i="371"/>
  <c r="G78" i="371"/>
  <c r="G79" i="371"/>
  <c r="G80" i="371"/>
  <c r="G81" i="371"/>
  <c r="G98" i="371"/>
  <c r="H67" i="371"/>
  <c r="H68" i="371"/>
  <c r="H69" i="371"/>
  <c r="H70" i="371"/>
  <c r="H71" i="371"/>
  <c r="H72" i="371"/>
  <c r="H75" i="371"/>
  <c r="H64" i="371"/>
  <c r="H65" i="371"/>
  <c r="H78" i="371"/>
  <c r="H79" i="371"/>
  <c r="H80" i="371"/>
  <c r="H81" i="371"/>
  <c r="H98" i="371"/>
  <c r="P98" i="371"/>
  <c r="D94" i="371"/>
  <c r="D82" i="371"/>
  <c r="D83" i="371"/>
  <c r="D84" i="371"/>
  <c r="D85" i="371"/>
  <c r="D86" i="371"/>
  <c r="D87" i="371"/>
  <c r="D96" i="371"/>
  <c r="D97" i="371"/>
  <c r="E94" i="371"/>
  <c r="E82" i="371"/>
  <c r="E83" i="371"/>
  <c r="E84" i="371"/>
  <c r="E85" i="371"/>
  <c r="E27" i="371"/>
  <c r="E86" i="371"/>
  <c r="E26" i="371"/>
  <c r="E87" i="371"/>
  <c r="E96" i="371"/>
  <c r="E97" i="371"/>
  <c r="F94" i="371"/>
  <c r="F82" i="371"/>
  <c r="F83" i="371"/>
  <c r="F84" i="371"/>
  <c r="F85" i="371"/>
  <c r="F27" i="371"/>
  <c r="F86" i="371"/>
  <c r="F26" i="371"/>
  <c r="F87" i="371"/>
  <c r="F96" i="371"/>
  <c r="F97" i="371"/>
  <c r="G94" i="371"/>
  <c r="G82" i="371"/>
  <c r="G83" i="371"/>
  <c r="G84" i="371"/>
  <c r="G85" i="371"/>
  <c r="G27" i="371"/>
  <c r="G86" i="371"/>
  <c r="G26" i="371"/>
  <c r="G87" i="371"/>
  <c r="G96" i="371"/>
  <c r="G97" i="371"/>
  <c r="H94" i="371"/>
  <c r="H82" i="371"/>
  <c r="H83" i="371"/>
  <c r="H84" i="371"/>
  <c r="H85" i="371"/>
  <c r="H27" i="371"/>
  <c r="H86" i="371"/>
  <c r="H26" i="371"/>
  <c r="H87" i="371"/>
  <c r="H96" i="371"/>
  <c r="H97" i="371"/>
  <c r="I94" i="371"/>
  <c r="I82" i="371"/>
  <c r="I83" i="371"/>
  <c r="I84" i="371"/>
  <c r="I85" i="371"/>
  <c r="I86" i="371"/>
  <c r="I87" i="371"/>
  <c r="I96" i="371"/>
  <c r="I97" i="371"/>
  <c r="J94" i="371"/>
  <c r="J82" i="371"/>
  <c r="J83" i="371"/>
  <c r="J84" i="371"/>
  <c r="J85" i="371"/>
  <c r="J27" i="371"/>
  <c r="J86" i="371"/>
  <c r="J26" i="371"/>
  <c r="J87" i="371"/>
  <c r="J96" i="371"/>
  <c r="J97" i="371"/>
  <c r="K94" i="371"/>
  <c r="K82" i="371"/>
  <c r="K83" i="371"/>
  <c r="K84" i="371"/>
  <c r="K85" i="371"/>
  <c r="K27" i="371"/>
  <c r="K86" i="371"/>
  <c r="K26" i="371"/>
  <c r="K87" i="371"/>
  <c r="K96" i="371"/>
  <c r="K97" i="371"/>
  <c r="L94" i="371"/>
  <c r="L82" i="371"/>
  <c r="L83" i="371"/>
  <c r="L84" i="371"/>
  <c r="L85" i="371"/>
  <c r="L86" i="371"/>
  <c r="L26" i="371"/>
  <c r="L87" i="371"/>
  <c r="L97" i="371"/>
  <c r="M94" i="371"/>
  <c r="M82" i="371"/>
  <c r="M83" i="371"/>
  <c r="M84" i="371"/>
  <c r="M85" i="371"/>
  <c r="M86" i="371"/>
  <c r="M26" i="371"/>
  <c r="M87" i="371"/>
  <c r="M96" i="371"/>
  <c r="M97" i="371"/>
  <c r="N94" i="371"/>
  <c r="N82" i="371"/>
  <c r="N83" i="371"/>
  <c r="N84" i="371"/>
  <c r="N85" i="371"/>
  <c r="N86" i="371"/>
  <c r="N26" i="371"/>
  <c r="N87" i="371"/>
  <c r="N96" i="371"/>
  <c r="N97" i="371"/>
  <c r="O94" i="371"/>
  <c r="O82" i="371"/>
  <c r="O83" i="371"/>
  <c r="O84" i="371"/>
  <c r="O85" i="371"/>
  <c r="O86" i="371"/>
  <c r="O26" i="371"/>
  <c r="O87" i="371"/>
  <c r="O96" i="371"/>
  <c r="O97" i="371"/>
  <c r="P97" i="371"/>
  <c r="P96" i="371"/>
  <c r="P95" i="371"/>
  <c r="P94" i="371"/>
  <c r="D90" i="371"/>
  <c r="D91" i="371"/>
  <c r="D93" i="371"/>
  <c r="E90" i="371"/>
  <c r="E91" i="371"/>
  <c r="E93" i="371"/>
  <c r="F90" i="371"/>
  <c r="F91" i="371"/>
  <c r="F93" i="371"/>
  <c r="G90" i="371"/>
  <c r="G91" i="371"/>
  <c r="G93" i="371"/>
  <c r="H90" i="371"/>
  <c r="H91" i="371"/>
  <c r="H93" i="371"/>
  <c r="I90" i="371"/>
  <c r="I91" i="371"/>
  <c r="I93" i="371"/>
  <c r="J90" i="371"/>
  <c r="J91" i="371"/>
  <c r="J93" i="371"/>
  <c r="K90" i="371"/>
  <c r="K91" i="371"/>
  <c r="K93" i="371"/>
  <c r="L90" i="371"/>
  <c r="L91" i="371"/>
  <c r="L93" i="371"/>
  <c r="M90" i="371"/>
  <c r="M91" i="371"/>
  <c r="M93" i="371"/>
  <c r="N90" i="371"/>
  <c r="N91" i="371"/>
  <c r="N93" i="371"/>
  <c r="O90" i="371"/>
  <c r="O91" i="371"/>
  <c r="O93" i="371"/>
  <c r="P93" i="371"/>
  <c r="D92" i="371"/>
  <c r="E92" i="371"/>
  <c r="F92" i="371"/>
  <c r="G92" i="371"/>
  <c r="H92" i="371"/>
  <c r="I92" i="371"/>
  <c r="J92" i="371"/>
  <c r="K92" i="371"/>
  <c r="L92" i="371"/>
  <c r="M92" i="371"/>
  <c r="N92" i="371"/>
  <c r="O92" i="371"/>
  <c r="P92" i="371"/>
  <c r="P91" i="371"/>
  <c r="P90" i="371"/>
  <c r="P87" i="371"/>
  <c r="P85" i="371"/>
  <c r="P84" i="371"/>
  <c r="P83" i="371"/>
  <c r="P82" i="371"/>
  <c r="P81" i="371"/>
  <c r="P80" i="371"/>
  <c r="P79" i="371"/>
  <c r="P78" i="371"/>
  <c r="P77" i="371"/>
  <c r="P76" i="371"/>
  <c r="P75" i="371"/>
  <c r="P74" i="371"/>
  <c r="P73" i="371"/>
  <c r="P72" i="371"/>
  <c r="P71" i="371"/>
  <c r="P70" i="371"/>
  <c r="P69" i="371"/>
  <c r="P68" i="371"/>
  <c r="P67" i="371"/>
  <c r="P66" i="371"/>
  <c r="P65" i="371"/>
  <c r="P64" i="371"/>
  <c r="P63" i="371"/>
  <c r="P62" i="371"/>
  <c r="P61" i="371"/>
  <c r="P60" i="371"/>
  <c r="P59" i="371"/>
  <c r="P58" i="371"/>
  <c r="P57" i="371"/>
  <c r="P56" i="371"/>
  <c r="P55" i="371"/>
  <c r="P54" i="371"/>
  <c r="P53" i="371"/>
  <c r="P52" i="371"/>
  <c r="P51" i="371"/>
  <c r="P50" i="371"/>
  <c r="P49" i="371"/>
  <c r="P48" i="371"/>
  <c r="P47" i="371"/>
  <c r="P46" i="371"/>
  <c r="P45" i="371"/>
  <c r="P44" i="371"/>
  <c r="O2" i="371"/>
  <c r="O43" i="371"/>
  <c r="N2" i="371"/>
  <c r="N43" i="371"/>
  <c r="M2" i="371"/>
  <c r="M43" i="371"/>
  <c r="L2" i="371"/>
  <c r="L43" i="371"/>
  <c r="K2" i="371"/>
  <c r="K43" i="371"/>
  <c r="J2" i="371"/>
  <c r="J43" i="371"/>
  <c r="I2" i="371"/>
  <c r="I43" i="371"/>
  <c r="H2" i="371"/>
  <c r="H43" i="371"/>
  <c r="G2" i="371"/>
  <c r="G43" i="371"/>
  <c r="F2" i="371"/>
  <c r="F43" i="371"/>
  <c r="E2" i="371"/>
  <c r="E43" i="371"/>
  <c r="D2" i="371"/>
  <c r="D43" i="371"/>
  <c r="C43" i="371"/>
  <c r="L23" i="371"/>
  <c r="E1" i="371"/>
  <c r="F1" i="371"/>
  <c r="G1" i="371"/>
  <c r="H1" i="371"/>
  <c r="I1" i="371"/>
  <c r="J1" i="371"/>
  <c r="K1" i="371"/>
  <c r="L1" i="371"/>
  <c r="M1" i="371"/>
  <c r="N1" i="371"/>
  <c r="O1" i="371"/>
  <c r="L18" i="219"/>
  <c r="L17" i="219"/>
  <c r="L16" i="219"/>
  <c r="L15" i="219"/>
  <c r="L14" i="219"/>
  <c r="L13" i="219"/>
  <c r="L12" i="219"/>
  <c r="L11" i="219"/>
  <c r="B41" i="235"/>
  <c r="B42" i="235"/>
  <c r="B43" i="235"/>
  <c r="B44" i="235"/>
  <c r="B45" i="235"/>
  <c r="B46" i="235"/>
  <c r="B47" i="235"/>
  <c r="B48" i="235"/>
  <c r="B49" i="235"/>
  <c r="B50" i="235"/>
  <c r="B51" i="235"/>
  <c r="B52" i="235"/>
  <c r="B53" i="235"/>
  <c r="B54" i="235"/>
  <c r="B55" i="235"/>
  <c r="B56" i="235"/>
  <c r="B57" i="235"/>
  <c r="B58" i="235"/>
  <c r="B59" i="235"/>
  <c r="B60" i="235"/>
  <c r="B61" i="235"/>
  <c r="B62" i="235"/>
  <c r="B63" i="235"/>
  <c r="B64" i="235"/>
  <c r="B65" i="235"/>
  <c r="B66" i="235"/>
  <c r="B67" i="235"/>
  <c r="B68" i="235"/>
  <c r="B69" i="235"/>
  <c r="B70" i="235"/>
  <c r="B71" i="235"/>
  <c r="B72" i="235"/>
  <c r="P55" i="219"/>
  <c r="D43" i="173"/>
  <c r="D64" i="173"/>
  <c r="D52" i="173"/>
  <c r="D53" i="173"/>
  <c r="D54" i="173"/>
  <c r="D55" i="173"/>
  <c r="D56" i="173"/>
  <c r="D57" i="173"/>
  <c r="D66" i="173"/>
  <c r="D67" i="173"/>
  <c r="L43" i="173"/>
  <c r="L64" i="173"/>
  <c r="L52" i="173"/>
  <c r="L53" i="173"/>
  <c r="L54" i="173"/>
  <c r="L55" i="173"/>
  <c r="L56" i="173"/>
  <c r="L57" i="173"/>
  <c r="L66" i="173"/>
  <c r="L67" i="173"/>
  <c r="C43" i="236"/>
  <c r="C42" i="236"/>
  <c r="C41" i="236"/>
  <c r="C40" i="236"/>
  <c r="D60" i="173"/>
  <c r="D61" i="173"/>
  <c r="D63" i="173"/>
  <c r="L60" i="173"/>
  <c r="L61" i="173"/>
  <c r="L63" i="173"/>
  <c r="C39" i="236"/>
  <c r="D62" i="173"/>
  <c r="C38" i="236"/>
  <c r="C37" i="236"/>
  <c r="C36" i="236"/>
  <c r="C35" i="236"/>
  <c r="C34" i="236"/>
  <c r="C33" i="236"/>
  <c r="C32" i="236"/>
  <c r="C31" i="236"/>
  <c r="C30" i="236"/>
  <c r="C29" i="236"/>
  <c r="C28" i="236"/>
  <c r="C27" i="236"/>
  <c r="C26" i="236"/>
  <c r="C25" i="236"/>
  <c r="C24" i="236"/>
  <c r="C23" i="236"/>
  <c r="C22" i="236"/>
  <c r="C21" i="236"/>
  <c r="C20" i="236"/>
  <c r="C19" i="236"/>
  <c r="C18" i="236"/>
  <c r="C17" i="236"/>
  <c r="C16" i="236"/>
  <c r="C15" i="236"/>
  <c r="C14" i="236"/>
  <c r="C13" i="236"/>
  <c r="C12" i="236"/>
  <c r="C11" i="236"/>
  <c r="C10" i="236"/>
  <c r="O105" i="219"/>
  <c r="N105" i="219"/>
  <c r="M105" i="219"/>
  <c r="L105" i="219"/>
  <c r="O104" i="219"/>
  <c r="N104" i="219"/>
  <c r="M104" i="219"/>
  <c r="L104" i="219"/>
  <c r="L103" i="219" a="1"/>
  <c r="L103" i="219"/>
  <c r="M103" i="219"/>
  <c r="N103" i="219"/>
  <c r="O103" i="219"/>
  <c r="M7" i="219"/>
  <c r="N7" i="219"/>
  <c r="O7" i="219"/>
  <c r="O102" i="219"/>
  <c r="N102" i="219"/>
  <c r="M102" i="219"/>
  <c r="L102" i="219"/>
  <c r="M16" i="219"/>
  <c r="N16" i="219"/>
  <c r="O16" i="219"/>
  <c r="O52" i="219"/>
  <c r="O73" i="219"/>
  <c r="M17" i="219"/>
  <c r="N17" i="219"/>
  <c r="O17" i="219"/>
  <c r="O53" i="219"/>
  <c r="O74" i="219"/>
  <c r="O101" i="219"/>
  <c r="N52" i="219"/>
  <c r="N73" i="219"/>
  <c r="N53" i="219"/>
  <c r="N74" i="219"/>
  <c r="N101" i="219"/>
  <c r="M52" i="219"/>
  <c r="M73" i="219"/>
  <c r="M53" i="219"/>
  <c r="M74" i="219"/>
  <c r="M101" i="219"/>
  <c r="L52" i="219"/>
  <c r="L73" i="219"/>
  <c r="L53" i="219"/>
  <c r="L74" i="219"/>
  <c r="L101" i="219"/>
  <c r="M18" i="219"/>
  <c r="N18" i="219"/>
  <c r="O18" i="219"/>
  <c r="O54" i="219"/>
  <c r="O100" i="219"/>
  <c r="N54" i="219"/>
  <c r="N100" i="219"/>
  <c r="M54" i="219"/>
  <c r="M100" i="219"/>
  <c r="L54" i="219"/>
  <c r="L100" i="219"/>
  <c r="O46" i="219"/>
  <c r="M11" i="219"/>
  <c r="N11" i="219"/>
  <c r="O11" i="219"/>
  <c r="O47" i="219"/>
  <c r="M12" i="219"/>
  <c r="N12" i="219"/>
  <c r="O12" i="219"/>
  <c r="O48" i="219"/>
  <c r="M13" i="219"/>
  <c r="N13" i="219"/>
  <c r="O13" i="219"/>
  <c r="O49" i="219"/>
  <c r="M14" i="219"/>
  <c r="N14" i="219"/>
  <c r="O14" i="219"/>
  <c r="O50" i="219"/>
  <c r="M15" i="219"/>
  <c r="N15" i="219"/>
  <c r="O15" i="219"/>
  <c r="O51" i="219"/>
  <c r="O59" i="219"/>
  <c r="O60" i="219"/>
  <c r="D63" i="219"/>
  <c r="O67" i="219"/>
  <c r="O68" i="219"/>
  <c r="O69" i="219"/>
  <c r="O70" i="219"/>
  <c r="O71" i="219"/>
  <c r="O72" i="219"/>
  <c r="O75" i="219"/>
  <c r="O64" i="219"/>
  <c r="N46" i="219"/>
  <c r="N47" i="219"/>
  <c r="N48" i="219"/>
  <c r="N49" i="219"/>
  <c r="N50" i="219"/>
  <c r="N51" i="219"/>
  <c r="N59" i="219"/>
  <c r="N60" i="219"/>
  <c r="N67" i="219"/>
  <c r="N68" i="219"/>
  <c r="N69" i="219"/>
  <c r="N70" i="219"/>
  <c r="N71" i="219"/>
  <c r="N72" i="219"/>
  <c r="N75" i="219"/>
  <c r="N64" i="219"/>
  <c r="M46" i="219"/>
  <c r="M47" i="219"/>
  <c r="M48" i="219"/>
  <c r="M49" i="219"/>
  <c r="M50" i="219"/>
  <c r="M51" i="219"/>
  <c r="M59" i="219"/>
  <c r="M60" i="219"/>
  <c r="M67" i="219"/>
  <c r="M68" i="219"/>
  <c r="M69" i="219"/>
  <c r="M70" i="219"/>
  <c r="M71" i="219"/>
  <c r="M72" i="219"/>
  <c r="M75" i="219"/>
  <c r="M64" i="219"/>
  <c r="L46" i="219"/>
  <c r="L47" i="219"/>
  <c r="L48" i="219"/>
  <c r="L49" i="219"/>
  <c r="L50" i="219"/>
  <c r="L51" i="219"/>
  <c r="L59" i="219"/>
  <c r="L60" i="219"/>
  <c r="L63" i="219"/>
  <c r="L67" i="219"/>
  <c r="L68" i="219"/>
  <c r="L69" i="219"/>
  <c r="L70" i="219"/>
  <c r="L71" i="219"/>
  <c r="L72" i="219"/>
  <c r="L75" i="219"/>
  <c r="L64" i="219"/>
  <c r="O94" i="219"/>
  <c r="O82" i="219"/>
  <c r="O83" i="219"/>
  <c r="O84" i="219"/>
  <c r="O85" i="219"/>
  <c r="E27" i="219"/>
  <c r="F27" i="219"/>
  <c r="G27" i="219"/>
  <c r="H27" i="219"/>
  <c r="I27" i="219"/>
  <c r="J27" i="219"/>
  <c r="K27" i="219"/>
  <c r="L27" i="219"/>
  <c r="M27" i="219"/>
  <c r="N27" i="219"/>
  <c r="O27" i="219"/>
  <c r="O86" i="219"/>
  <c r="E26" i="219"/>
  <c r="F26" i="219"/>
  <c r="G26" i="219"/>
  <c r="H26" i="219"/>
  <c r="I26" i="219"/>
  <c r="J26" i="219"/>
  <c r="K26" i="219"/>
  <c r="L26" i="219"/>
  <c r="M26" i="219"/>
  <c r="N26" i="219"/>
  <c r="O26" i="219"/>
  <c r="O87" i="219"/>
  <c r="O96" i="219"/>
  <c r="O97" i="219"/>
  <c r="N94" i="219"/>
  <c r="N82" i="219"/>
  <c r="N83" i="219"/>
  <c r="N84" i="219"/>
  <c r="N85" i="219"/>
  <c r="N86" i="219"/>
  <c r="N87" i="219"/>
  <c r="N96" i="219"/>
  <c r="N97" i="219"/>
  <c r="M94" i="219"/>
  <c r="M82" i="219"/>
  <c r="M83" i="219"/>
  <c r="M84" i="219"/>
  <c r="M85" i="219"/>
  <c r="M86" i="219"/>
  <c r="M87" i="219"/>
  <c r="M96" i="219"/>
  <c r="M97" i="219"/>
  <c r="L94" i="219"/>
  <c r="L82" i="219"/>
  <c r="L83" i="219"/>
  <c r="L84" i="219"/>
  <c r="L85" i="219"/>
  <c r="L86" i="219"/>
  <c r="L87" i="219"/>
  <c r="L96" i="219"/>
  <c r="L97" i="219"/>
  <c r="O90" i="219"/>
  <c r="O91" i="219"/>
  <c r="O93" i="219"/>
  <c r="N90" i="219"/>
  <c r="N91" i="219"/>
  <c r="N93" i="219"/>
  <c r="M90" i="219"/>
  <c r="M91" i="219"/>
  <c r="M93" i="219"/>
  <c r="L90" i="219"/>
  <c r="L91" i="219"/>
  <c r="L93" i="219"/>
  <c r="O92" i="219"/>
  <c r="N92" i="219"/>
  <c r="M92" i="219"/>
  <c r="L92" i="219"/>
  <c r="L11" i="173"/>
  <c r="L10" i="173"/>
  <c r="M5" i="173"/>
  <c r="N5" i="173"/>
  <c r="O5" i="173"/>
  <c r="F5" i="173"/>
  <c r="G5" i="173"/>
  <c r="H5" i="173"/>
  <c r="I5" i="173"/>
  <c r="J5" i="173"/>
  <c r="K5" i="173"/>
  <c r="E5" i="173"/>
  <c r="B110" i="270"/>
  <c r="B111" i="270"/>
  <c r="B112" i="270"/>
  <c r="B113" i="270"/>
  <c r="S93" i="270"/>
  <c r="S92" i="270"/>
  <c r="S91" i="270"/>
  <c r="S90" i="270"/>
  <c r="S89" i="270"/>
  <c r="S88" i="270"/>
  <c r="S87" i="270"/>
  <c r="S86" i="270"/>
  <c r="S85" i="270"/>
  <c r="S84" i="270"/>
  <c r="S83" i="270"/>
  <c r="S82" i="270"/>
  <c r="S81" i="270"/>
  <c r="S80" i="270"/>
  <c r="S79" i="270"/>
  <c r="S78" i="270"/>
  <c r="S77" i="270"/>
  <c r="S76" i="270"/>
  <c r="S75" i="270"/>
  <c r="S74" i="270"/>
  <c r="S73" i="270"/>
  <c r="S72" i="270"/>
  <c r="S64" i="270"/>
  <c r="S63" i="270"/>
  <c r="S62" i="270"/>
  <c r="S61" i="270"/>
  <c r="S60" i="270"/>
  <c r="S59" i="270"/>
  <c r="S55" i="270"/>
  <c r="S54" i="270"/>
  <c r="S53" i="270"/>
  <c r="S52" i="270"/>
  <c r="S51" i="270"/>
  <c r="S50" i="270"/>
  <c r="S49" i="270"/>
  <c r="S48" i="270"/>
  <c r="S47" i="270"/>
  <c r="S46" i="270"/>
  <c r="S45" i="270"/>
  <c r="A44" i="270"/>
  <c r="E95" i="269"/>
  <c r="E104" i="269"/>
  <c r="D95" i="269"/>
  <c r="D104" i="269"/>
  <c r="C95" i="269"/>
  <c r="C104" i="269"/>
  <c r="B95" i="269"/>
  <c r="B104" i="269"/>
  <c r="E94" i="269"/>
  <c r="E103" i="269"/>
  <c r="D94" i="269"/>
  <c r="D103" i="269"/>
  <c r="C94" i="269"/>
  <c r="C103" i="269"/>
  <c r="B94" i="269"/>
  <c r="B103" i="269"/>
  <c r="E93" i="269"/>
  <c r="E102" i="269"/>
  <c r="D93" i="269"/>
  <c r="D102" i="269"/>
  <c r="C93" i="269"/>
  <c r="C102" i="269"/>
  <c r="B93" i="269"/>
  <c r="B102" i="269"/>
  <c r="E92" i="269"/>
  <c r="E101" i="269"/>
  <c r="D92" i="269"/>
  <c r="D101" i="269"/>
  <c r="C92" i="269"/>
  <c r="C101" i="269"/>
  <c r="B92" i="269"/>
  <c r="B101" i="269"/>
  <c r="E91" i="269"/>
  <c r="E100" i="269"/>
  <c r="D91" i="269"/>
  <c r="D100" i="269"/>
  <c r="C91" i="269"/>
  <c r="C100" i="269"/>
  <c r="B91" i="269"/>
  <c r="B100" i="269"/>
  <c r="E90" i="269"/>
  <c r="E99" i="269"/>
  <c r="D90" i="269"/>
  <c r="D99" i="269"/>
  <c r="C90" i="269"/>
  <c r="C99" i="269"/>
  <c r="B90" i="269"/>
  <c r="B99" i="269"/>
  <c r="F81" i="269"/>
  <c r="E81" i="269"/>
  <c r="D81" i="269"/>
  <c r="C81" i="269"/>
  <c r="B81" i="269"/>
  <c r="M7" i="18"/>
  <c r="N7" i="18"/>
  <c r="O7" i="18"/>
  <c r="B43" i="236"/>
  <c r="B42" i="236"/>
  <c r="B41" i="236"/>
  <c r="B40" i="236"/>
  <c r="B39" i="236"/>
  <c r="B38" i="236"/>
  <c r="B37" i="236"/>
  <c r="B36" i="236"/>
  <c r="B35" i="236"/>
  <c r="B34" i="236"/>
  <c r="B33" i="236"/>
  <c r="B32" i="236"/>
  <c r="B31" i="236"/>
  <c r="B30" i="236"/>
  <c r="B29" i="236"/>
  <c r="B28" i="236"/>
  <c r="B27" i="236"/>
  <c r="B26" i="236"/>
  <c r="B25" i="236"/>
  <c r="B24" i="236"/>
  <c r="B23" i="236"/>
  <c r="B22" i="236"/>
  <c r="B21" i="236"/>
  <c r="B20" i="236"/>
  <c r="B19" i="236"/>
  <c r="B18" i="236"/>
  <c r="B17" i="236"/>
  <c r="B16" i="236"/>
  <c r="B15" i="236"/>
  <c r="B14" i="236"/>
  <c r="B13" i="236"/>
  <c r="B12" i="236"/>
  <c r="B11" i="236"/>
  <c r="B10" i="236"/>
  <c r="I66" i="18"/>
  <c r="I76" i="18"/>
  <c r="I77" i="18"/>
  <c r="I65" i="18"/>
  <c r="I78" i="18"/>
  <c r="I79" i="18"/>
  <c r="I80" i="18"/>
  <c r="I81" i="18"/>
  <c r="I99" i="18"/>
  <c r="J66" i="18"/>
  <c r="J76" i="18"/>
  <c r="J77" i="18"/>
  <c r="J65" i="18"/>
  <c r="J78" i="18"/>
  <c r="J79" i="18"/>
  <c r="J80" i="18"/>
  <c r="J81" i="18"/>
  <c r="J99" i="18"/>
  <c r="K66" i="18"/>
  <c r="K76" i="18"/>
  <c r="K77" i="18"/>
  <c r="K65" i="18"/>
  <c r="K78" i="18"/>
  <c r="K79" i="18"/>
  <c r="K80" i="18"/>
  <c r="K81" i="18"/>
  <c r="K99" i="18"/>
  <c r="L102" i="18"/>
  <c r="L103" i="18"/>
  <c r="L104" i="18"/>
  <c r="L105" i="18"/>
  <c r="L46" i="18"/>
  <c r="L47" i="18"/>
  <c r="L48" i="18"/>
  <c r="L49" i="18"/>
  <c r="L50" i="18"/>
  <c r="L51" i="18"/>
  <c r="L52" i="18"/>
  <c r="L53" i="18"/>
  <c r="L54" i="18"/>
  <c r="L66" i="18"/>
  <c r="L76" i="18"/>
  <c r="L77" i="18"/>
  <c r="L65" i="18"/>
  <c r="L78" i="18"/>
  <c r="L67" i="18"/>
  <c r="L68" i="18"/>
  <c r="L69" i="18"/>
  <c r="L70" i="18"/>
  <c r="L71" i="18"/>
  <c r="L72" i="18"/>
  <c r="L73" i="18"/>
  <c r="L74" i="18"/>
  <c r="L75" i="18"/>
  <c r="L79" i="18"/>
  <c r="L80" i="18"/>
  <c r="L81" i="18"/>
  <c r="L99" i="18"/>
  <c r="M102" i="18"/>
  <c r="M103" i="18"/>
  <c r="M104" i="18"/>
  <c r="M105" i="18"/>
  <c r="M46" i="18"/>
  <c r="M47" i="18"/>
  <c r="M48" i="18"/>
  <c r="M49" i="18"/>
  <c r="M50" i="18"/>
  <c r="M51" i="18"/>
  <c r="M52" i="18"/>
  <c r="M53" i="18"/>
  <c r="M54" i="18"/>
  <c r="M66" i="18"/>
  <c r="M76" i="18"/>
  <c r="M77" i="18"/>
  <c r="M65" i="18"/>
  <c r="M78" i="18"/>
  <c r="M67" i="18"/>
  <c r="M68" i="18"/>
  <c r="M69" i="18"/>
  <c r="M70" i="18"/>
  <c r="M71" i="18"/>
  <c r="M72" i="18"/>
  <c r="M73" i="18"/>
  <c r="M74" i="18"/>
  <c r="M75" i="18"/>
  <c r="M79" i="18"/>
  <c r="M80" i="18"/>
  <c r="M81" i="18"/>
  <c r="M99" i="18"/>
  <c r="N102" i="18"/>
  <c r="N103" i="18"/>
  <c r="N104" i="18"/>
  <c r="N105" i="18"/>
  <c r="N46" i="18"/>
  <c r="N47" i="18"/>
  <c r="N48" i="18"/>
  <c r="N49" i="18"/>
  <c r="N50" i="18"/>
  <c r="N51" i="18"/>
  <c r="N52" i="18"/>
  <c r="N53" i="18"/>
  <c r="N54" i="18"/>
  <c r="N66" i="18"/>
  <c r="N76" i="18"/>
  <c r="N77" i="18"/>
  <c r="N65" i="18"/>
  <c r="N78" i="18"/>
  <c r="N67" i="18"/>
  <c r="N68" i="18"/>
  <c r="N69" i="18"/>
  <c r="N70" i="18"/>
  <c r="N71" i="18"/>
  <c r="N72" i="18"/>
  <c r="N73" i="18"/>
  <c r="N74" i="18"/>
  <c r="N75" i="18"/>
  <c r="N79" i="18"/>
  <c r="N80" i="18"/>
  <c r="N81" i="18"/>
  <c r="N99" i="18"/>
  <c r="O102" i="18"/>
  <c r="O103" i="18"/>
  <c r="O104" i="18"/>
  <c r="O105" i="18"/>
  <c r="O46" i="18"/>
  <c r="O47" i="18"/>
  <c r="O48" i="18"/>
  <c r="O49" i="18"/>
  <c r="O50" i="18"/>
  <c r="O51" i="18"/>
  <c r="O52" i="18"/>
  <c r="O53" i="18"/>
  <c r="O54" i="18"/>
  <c r="O66" i="18"/>
  <c r="O76" i="18"/>
  <c r="O77" i="18"/>
  <c r="O65" i="18"/>
  <c r="O78" i="18"/>
  <c r="O67" i="18"/>
  <c r="O68" i="18"/>
  <c r="O69" i="18"/>
  <c r="O70" i="18"/>
  <c r="O71" i="18"/>
  <c r="O72" i="18"/>
  <c r="O73" i="18"/>
  <c r="O74" i="18"/>
  <c r="O75" i="18"/>
  <c r="O79" i="18"/>
  <c r="O80" i="18"/>
  <c r="O81" i="18"/>
  <c r="O99" i="18"/>
  <c r="P99" i="18"/>
  <c r="C98" i="219"/>
  <c r="E4" i="219"/>
  <c r="F4" i="219"/>
  <c r="G4" i="219"/>
  <c r="H4" i="219"/>
  <c r="I4" i="219"/>
  <c r="J4" i="219"/>
  <c r="K4" i="219"/>
  <c r="L4" i="219"/>
  <c r="M4" i="219"/>
  <c r="N4" i="219"/>
  <c r="O4" i="219"/>
  <c r="E10" i="219"/>
  <c r="F10" i="219"/>
  <c r="G10" i="219"/>
  <c r="H10" i="219"/>
  <c r="I10" i="219"/>
  <c r="J10" i="219"/>
  <c r="K10" i="219"/>
  <c r="L10" i="219"/>
  <c r="M10" i="219"/>
  <c r="N10" i="219"/>
  <c r="O10" i="219"/>
  <c r="K105" i="219"/>
  <c r="J105" i="219"/>
  <c r="I105" i="219"/>
  <c r="H105" i="219"/>
  <c r="G105" i="219"/>
  <c r="F105" i="219"/>
  <c r="E105" i="219"/>
  <c r="D105" i="219"/>
  <c r="A2" i="219"/>
  <c r="A3" i="219"/>
  <c r="A4" i="219"/>
  <c r="A5" i="219"/>
  <c r="A6" i="219"/>
  <c r="A7" i="219"/>
  <c r="A8" i="219"/>
  <c r="A9" i="219"/>
  <c r="A10" i="219"/>
  <c r="A11" i="219"/>
  <c r="A12" i="219"/>
  <c r="A13" i="219"/>
  <c r="A14" i="219"/>
  <c r="A15" i="219"/>
  <c r="A16" i="219"/>
  <c r="A17" i="219"/>
  <c r="A18" i="219"/>
  <c r="A19" i="219"/>
  <c r="A20" i="219"/>
  <c r="A21" i="219"/>
  <c r="A22" i="219"/>
  <c r="A23" i="219"/>
  <c r="A24" i="219"/>
  <c r="A25" i="219"/>
  <c r="A26" i="219"/>
  <c r="A27" i="219"/>
  <c r="A28" i="219"/>
  <c r="A29" i="219"/>
  <c r="A30" i="219"/>
  <c r="A31" i="219"/>
  <c r="A32" i="219"/>
  <c r="A33" i="219"/>
  <c r="A34" i="219"/>
  <c r="A35" i="219"/>
  <c r="A36" i="219"/>
  <c r="A37" i="219"/>
  <c r="A38" i="219"/>
  <c r="A39" i="219"/>
  <c r="A40" i="219"/>
  <c r="A41" i="219"/>
  <c r="A42" i="219"/>
  <c r="A43" i="219"/>
  <c r="A44" i="219"/>
  <c r="A45" i="219"/>
  <c r="A46" i="219"/>
  <c r="A47" i="219"/>
  <c r="A48" i="219"/>
  <c r="A49" i="219"/>
  <c r="A50" i="219"/>
  <c r="A51" i="219"/>
  <c r="A52" i="219"/>
  <c r="A53" i="219"/>
  <c r="A54" i="219"/>
  <c r="A55" i="219"/>
  <c r="A56" i="219"/>
  <c r="A57" i="219"/>
  <c r="A58" i="219"/>
  <c r="A59" i="219"/>
  <c r="A60" i="219"/>
  <c r="A61" i="219"/>
  <c r="A62" i="219"/>
  <c r="A63" i="219"/>
  <c r="A64" i="219"/>
  <c r="A65" i="219"/>
  <c r="A66" i="219"/>
  <c r="A67" i="219"/>
  <c r="A68" i="219"/>
  <c r="A69" i="219"/>
  <c r="A70" i="219"/>
  <c r="A71" i="219"/>
  <c r="A72" i="219"/>
  <c r="A73" i="219"/>
  <c r="A74" i="219"/>
  <c r="A75" i="219"/>
  <c r="A76" i="219"/>
  <c r="A77" i="219"/>
  <c r="A78" i="219"/>
  <c r="A79" i="219"/>
  <c r="A80" i="219"/>
  <c r="A81" i="219"/>
  <c r="A82" i="219"/>
  <c r="A83" i="219"/>
  <c r="A84" i="219"/>
  <c r="A85" i="219"/>
  <c r="A86" i="219"/>
  <c r="A87" i="219"/>
  <c r="A88" i="219"/>
  <c r="A89" i="219"/>
  <c r="A90" i="219"/>
  <c r="A91" i="219"/>
  <c r="A92" i="219"/>
  <c r="A93" i="219"/>
  <c r="A94" i="219"/>
  <c r="A95" i="219"/>
  <c r="A96" i="219"/>
  <c r="A97" i="219"/>
  <c r="A98" i="219"/>
  <c r="A99" i="219"/>
  <c r="A100" i="219"/>
  <c r="A101" i="219"/>
  <c r="A102" i="219"/>
  <c r="A103" i="219"/>
  <c r="A104" i="219"/>
  <c r="A105" i="219"/>
  <c r="K104" i="219"/>
  <c r="J104" i="219"/>
  <c r="I104" i="219"/>
  <c r="H104" i="219"/>
  <c r="G104" i="219"/>
  <c r="F104" i="219"/>
  <c r="E104" i="219"/>
  <c r="D104" i="219"/>
  <c r="K103" i="219"/>
  <c r="J103" i="219"/>
  <c r="I103" i="219"/>
  <c r="H103" i="219"/>
  <c r="G103" i="219"/>
  <c r="F103" i="219"/>
  <c r="E103" i="219"/>
  <c r="D103" i="219"/>
  <c r="K102" i="219"/>
  <c r="J102" i="219"/>
  <c r="I102" i="219"/>
  <c r="H102" i="219"/>
  <c r="G102" i="219"/>
  <c r="F102" i="219"/>
  <c r="E102" i="219"/>
  <c r="D102" i="219"/>
  <c r="E9" i="219"/>
  <c r="F9" i="219"/>
  <c r="G9" i="219"/>
  <c r="H9" i="219"/>
  <c r="I9" i="219"/>
  <c r="J9" i="219"/>
  <c r="K9" i="219"/>
  <c r="L9" i="219"/>
  <c r="M9" i="219"/>
  <c r="N9" i="219"/>
  <c r="O9" i="219"/>
  <c r="O6" i="219"/>
  <c r="E16" i="219"/>
  <c r="F16" i="219"/>
  <c r="G16" i="219"/>
  <c r="H16" i="219"/>
  <c r="I16" i="219"/>
  <c r="J16" i="219"/>
  <c r="K16" i="219"/>
  <c r="E5" i="219"/>
  <c r="F5" i="219"/>
  <c r="G5" i="219"/>
  <c r="H5" i="219"/>
  <c r="I5" i="219"/>
  <c r="J5" i="219"/>
  <c r="K5" i="219"/>
  <c r="L5" i="219"/>
  <c r="M5" i="219"/>
  <c r="N5" i="219"/>
  <c r="O5" i="219"/>
  <c r="N6" i="219"/>
  <c r="M6" i="219"/>
  <c r="L6" i="219"/>
  <c r="K6" i="219"/>
  <c r="K52" i="219"/>
  <c r="K73" i="219"/>
  <c r="K53" i="219"/>
  <c r="K74" i="219"/>
  <c r="K101" i="219"/>
  <c r="J6" i="219"/>
  <c r="J52" i="219"/>
  <c r="J73" i="219"/>
  <c r="J53" i="219"/>
  <c r="J74" i="219"/>
  <c r="J101" i="219"/>
  <c r="I6" i="219"/>
  <c r="I52" i="219"/>
  <c r="I73" i="219"/>
  <c r="I53" i="219"/>
  <c r="I74" i="219"/>
  <c r="I101" i="219"/>
  <c r="H6" i="219"/>
  <c r="H66" i="219"/>
  <c r="H52" i="219"/>
  <c r="H73" i="219"/>
  <c r="H53" i="219"/>
  <c r="H74" i="219"/>
  <c r="H76" i="219"/>
  <c r="H77" i="219"/>
  <c r="H101" i="219"/>
  <c r="G6" i="219"/>
  <c r="G66" i="219"/>
  <c r="G52" i="219"/>
  <c r="G73" i="219"/>
  <c r="G53" i="219"/>
  <c r="G74" i="219"/>
  <c r="G76" i="219"/>
  <c r="G77" i="219"/>
  <c r="G101" i="219"/>
  <c r="F6" i="219"/>
  <c r="F66" i="219"/>
  <c r="F52" i="219"/>
  <c r="F73" i="219"/>
  <c r="F53" i="219"/>
  <c r="F74" i="219"/>
  <c r="F76" i="219"/>
  <c r="F77" i="219"/>
  <c r="F101" i="219"/>
  <c r="E6" i="219"/>
  <c r="E66" i="219"/>
  <c r="E52" i="219"/>
  <c r="E73" i="219"/>
  <c r="E53" i="219"/>
  <c r="E74" i="219"/>
  <c r="E76" i="219"/>
  <c r="E77" i="219"/>
  <c r="E101" i="219"/>
  <c r="D66" i="219"/>
  <c r="D52" i="219"/>
  <c r="D73" i="219"/>
  <c r="D53" i="219"/>
  <c r="D74" i="219"/>
  <c r="D76" i="219"/>
  <c r="D77" i="219"/>
  <c r="D101" i="219"/>
  <c r="O8" i="219"/>
  <c r="N8" i="219"/>
  <c r="M8" i="219"/>
  <c r="L8" i="219"/>
  <c r="K8" i="219"/>
  <c r="K54" i="219"/>
  <c r="K100" i="219"/>
  <c r="J8" i="219"/>
  <c r="J54" i="219"/>
  <c r="J100" i="219"/>
  <c r="I8" i="219"/>
  <c r="I54" i="219"/>
  <c r="I100" i="219"/>
  <c r="H8" i="219"/>
  <c r="H54" i="219"/>
  <c r="H100" i="219"/>
  <c r="G8" i="219"/>
  <c r="G54" i="219"/>
  <c r="G100" i="219"/>
  <c r="F8" i="219"/>
  <c r="F54" i="219"/>
  <c r="F100" i="219"/>
  <c r="E8" i="219"/>
  <c r="E54" i="219"/>
  <c r="E100" i="219"/>
  <c r="D54" i="219"/>
  <c r="D100" i="219"/>
  <c r="I46" i="219"/>
  <c r="E11" i="219"/>
  <c r="F11" i="219"/>
  <c r="G11" i="219"/>
  <c r="H11" i="219"/>
  <c r="I11" i="219"/>
  <c r="I47" i="219"/>
  <c r="E12" i="219"/>
  <c r="F12" i="219"/>
  <c r="G12" i="219"/>
  <c r="H12" i="219"/>
  <c r="I12" i="219"/>
  <c r="I48" i="219"/>
  <c r="E13" i="219"/>
  <c r="F13" i="219"/>
  <c r="G13" i="219"/>
  <c r="H13" i="219"/>
  <c r="I13" i="219"/>
  <c r="I49" i="219"/>
  <c r="E14" i="219"/>
  <c r="F14" i="219"/>
  <c r="G14" i="219"/>
  <c r="H14" i="219"/>
  <c r="I14" i="219"/>
  <c r="I50" i="219"/>
  <c r="E15" i="219"/>
  <c r="F15" i="219"/>
  <c r="G15" i="219"/>
  <c r="H15" i="219"/>
  <c r="I15" i="219"/>
  <c r="I51" i="219"/>
  <c r="E17" i="219"/>
  <c r="F17" i="219"/>
  <c r="G17" i="219"/>
  <c r="H17" i="219"/>
  <c r="I17" i="219"/>
  <c r="E18" i="219"/>
  <c r="F18" i="219"/>
  <c r="G18" i="219"/>
  <c r="H18" i="219"/>
  <c r="I18" i="219"/>
  <c r="E20" i="219"/>
  <c r="F20" i="219"/>
  <c r="G20" i="219"/>
  <c r="H20" i="219"/>
  <c r="I20" i="219"/>
  <c r="I59" i="219"/>
  <c r="I60" i="219"/>
  <c r="I63" i="219"/>
  <c r="I67" i="219"/>
  <c r="I68" i="219"/>
  <c r="E19" i="219"/>
  <c r="F19" i="219"/>
  <c r="G19" i="219"/>
  <c r="H19" i="219"/>
  <c r="I19" i="219"/>
  <c r="I69" i="219"/>
  <c r="I70" i="219"/>
  <c r="I71" i="219"/>
  <c r="I72" i="219"/>
  <c r="I75" i="219"/>
  <c r="I64" i="219"/>
  <c r="J46" i="219"/>
  <c r="J11" i="219"/>
  <c r="J47" i="219"/>
  <c r="J12" i="219"/>
  <c r="J48" i="219"/>
  <c r="J13" i="219"/>
  <c r="J49" i="219"/>
  <c r="J14" i="219"/>
  <c r="J50" i="219"/>
  <c r="J15" i="219"/>
  <c r="J51" i="219"/>
  <c r="J17" i="219"/>
  <c r="J18" i="219"/>
  <c r="J20" i="219"/>
  <c r="J59" i="219"/>
  <c r="J60" i="219"/>
  <c r="J63" i="219"/>
  <c r="J67" i="219"/>
  <c r="J68" i="219"/>
  <c r="J19" i="219"/>
  <c r="J69" i="219"/>
  <c r="J70" i="219"/>
  <c r="J71" i="219"/>
  <c r="J72" i="219"/>
  <c r="J75" i="219"/>
  <c r="J64" i="219"/>
  <c r="K46" i="219"/>
  <c r="K11" i="219"/>
  <c r="K47" i="219"/>
  <c r="K12" i="219"/>
  <c r="K48" i="219"/>
  <c r="K13" i="219"/>
  <c r="K49" i="219"/>
  <c r="K14" i="219"/>
  <c r="K50" i="219"/>
  <c r="K15" i="219"/>
  <c r="K51" i="219"/>
  <c r="K17" i="219"/>
  <c r="K18" i="219"/>
  <c r="K20" i="219"/>
  <c r="K59" i="219"/>
  <c r="K60" i="219"/>
  <c r="K63" i="219"/>
  <c r="K67" i="219"/>
  <c r="K68" i="219"/>
  <c r="K19" i="219"/>
  <c r="K69" i="219"/>
  <c r="K70" i="219"/>
  <c r="K71" i="219"/>
  <c r="K72" i="219"/>
  <c r="K75" i="219"/>
  <c r="K64" i="219"/>
  <c r="L20" i="219"/>
  <c r="L19" i="219"/>
  <c r="M20" i="219"/>
  <c r="M19" i="219"/>
  <c r="N20" i="219"/>
  <c r="N19" i="219"/>
  <c r="O20" i="219"/>
  <c r="D46" i="219"/>
  <c r="D47" i="219"/>
  <c r="D48" i="219"/>
  <c r="D49" i="219"/>
  <c r="D50" i="219"/>
  <c r="D51" i="219"/>
  <c r="D59" i="219"/>
  <c r="D60" i="219"/>
  <c r="E46" i="219"/>
  <c r="E47" i="219"/>
  <c r="E48" i="219"/>
  <c r="E49" i="219"/>
  <c r="E50" i="219"/>
  <c r="E51" i="219"/>
  <c r="E59" i="219"/>
  <c r="E60" i="219"/>
  <c r="E63" i="219"/>
  <c r="F46" i="219"/>
  <c r="F47" i="219"/>
  <c r="F48" i="219"/>
  <c r="F49" i="219"/>
  <c r="F50" i="219"/>
  <c r="F51" i="219"/>
  <c r="F59" i="219"/>
  <c r="F60" i="219"/>
  <c r="F63" i="219"/>
  <c r="G46" i="219"/>
  <c r="G47" i="219"/>
  <c r="G48" i="219"/>
  <c r="G49" i="219"/>
  <c r="G50" i="219"/>
  <c r="G51" i="219"/>
  <c r="G59" i="219"/>
  <c r="G60" i="219"/>
  <c r="G63" i="219"/>
  <c r="H46" i="219"/>
  <c r="H47" i="219"/>
  <c r="H48" i="219"/>
  <c r="H49" i="219"/>
  <c r="H50" i="219"/>
  <c r="H51" i="219"/>
  <c r="H59" i="219"/>
  <c r="H60" i="219"/>
  <c r="H63" i="219"/>
  <c r="O19" i="219"/>
  <c r="D67" i="219"/>
  <c r="D68" i="219"/>
  <c r="D69" i="219"/>
  <c r="D70" i="219"/>
  <c r="D71" i="219"/>
  <c r="D72" i="219"/>
  <c r="D75" i="219"/>
  <c r="D64" i="219"/>
  <c r="D65" i="219"/>
  <c r="D78" i="219"/>
  <c r="D79" i="219"/>
  <c r="D80" i="219"/>
  <c r="D81" i="219"/>
  <c r="D98" i="219"/>
  <c r="E67" i="219"/>
  <c r="E68" i="219"/>
  <c r="E69" i="219"/>
  <c r="E70" i="219"/>
  <c r="E71" i="219"/>
  <c r="E72" i="219"/>
  <c r="E75" i="219"/>
  <c r="E64" i="219"/>
  <c r="E65" i="219"/>
  <c r="E78" i="219"/>
  <c r="E79" i="219"/>
  <c r="E80" i="219"/>
  <c r="E81" i="219"/>
  <c r="E98" i="219"/>
  <c r="F67" i="219"/>
  <c r="F68" i="219"/>
  <c r="F69" i="219"/>
  <c r="F70" i="219"/>
  <c r="F71" i="219"/>
  <c r="F72" i="219"/>
  <c r="F75" i="219"/>
  <c r="F64" i="219"/>
  <c r="F65" i="219"/>
  <c r="F78" i="219"/>
  <c r="F79" i="219"/>
  <c r="F80" i="219"/>
  <c r="F81" i="219"/>
  <c r="F98" i="219"/>
  <c r="G67" i="219"/>
  <c r="G68" i="219"/>
  <c r="G69" i="219"/>
  <c r="G70" i="219"/>
  <c r="G71" i="219"/>
  <c r="G72" i="219"/>
  <c r="G75" i="219"/>
  <c r="G64" i="219"/>
  <c r="G65" i="219"/>
  <c r="G78" i="219"/>
  <c r="G79" i="219"/>
  <c r="G80" i="219"/>
  <c r="G81" i="219"/>
  <c r="G98" i="219"/>
  <c r="H67" i="219"/>
  <c r="H68" i="219"/>
  <c r="H69" i="219"/>
  <c r="H70" i="219"/>
  <c r="H71" i="219"/>
  <c r="H72" i="219"/>
  <c r="H75" i="219"/>
  <c r="H64" i="219"/>
  <c r="H65" i="219"/>
  <c r="H78" i="219"/>
  <c r="H79" i="219"/>
  <c r="H80" i="219"/>
  <c r="H81" i="219"/>
  <c r="H98" i="219"/>
  <c r="P98" i="219"/>
  <c r="D94" i="219"/>
  <c r="D82" i="219"/>
  <c r="D83" i="219"/>
  <c r="D84" i="219"/>
  <c r="D85" i="219"/>
  <c r="D86" i="219"/>
  <c r="D87" i="219"/>
  <c r="D96" i="219"/>
  <c r="D97" i="219"/>
  <c r="E94" i="219"/>
  <c r="E82" i="219"/>
  <c r="E83" i="219"/>
  <c r="E84" i="219"/>
  <c r="E85" i="219"/>
  <c r="E86" i="219"/>
  <c r="E87" i="219"/>
  <c r="E96" i="219"/>
  <c r="E97" i="219"/>
  <c r="F94" i="219"/>
  <c r="F82" i="219"/>
  <c r="F83" i="219"/>
  <c r="F84" i="219"/>
  <c r="F85" i="219"/>
  <c r="F86" i="219"/>
  <c r="F87" i="219"/>
  <c r="F96" i="219"/>
  <c r="F97" i="219"/>
  <c r="G94" i="219"/>
  <c r="G82" i="219"/>
  <c r="G83" i="219"/>
  <c r="G84" i="219"/>
  <c r="G85" i="219"/>
  <c r="G86" i="219"/>
  <c r="G87" i="219"/>
  <c r="G96" i="219"/>
  <c r="G97" i="219"/>
  <c r="H94" i="219"/>
  <c r="H82" i="219"/>
  <c r="H83" i="219"/>
  <c r="H84" i="219"/>
  <c r="H85" i="219"/>
  <c r="H86" i="219"/>
  <c r="H87" i="219"/>
  <c r="H96" i="219"/>
  <c r="H97" i="219"/>
  <c r="I94" i="219"/>
  <c r="I82" i="219"/>
  <c r="I83" i="219"/>
  <c r="I84" i="219"/>
  <c r="I85" i="219"/>
  <c r="I86" i="219"/>
  <c r="I87" i="219"/>
  <c r="I96" i="219"/>
  <c r="I97" i="219"/>
  <c r="J94" i="219"/>
  <c r="J82" i="219"/>
  <c r="J83" i="219"/>
  <c r="J84" i="219"/>
  <c r="J85" i="219"/>
  <c r="J86" i="219"/>
  <c r="J87" i="219"/>
  <c r="J96" i="219"/>
  <c r="J97" i="219"/>
  <c r="K94" i="219"/>
  <c r="K82" i="219"/>
  <c r="K83" i="219"/>
  <c r="K84" i="219"/>
  <c r="K85" i="219"/>
  <c r="K86" i="219"/>
  <c r="K87" i="219"/>
  <c r="K96" i="219"/>
  <c r="K97" i="219"/>
  <c r="P97" i="219"/>
  <c r="P96" i="219"/>
  <c r="P95" i="219"/>
  <c r="P94" i="219"/>
  <c r="D90" i="219"/>
  <c r="D91" i="219"/>
  <c r="D93" i="219"/>
  <c r="E90" i="219"/>
  <c r="E91" i="219"/>
  <c r="E93" i="219"/>
  <c r="F90" i="219"/>
  <c r="F91" i="219"/>
  <c r="F93" i="219"/>
  <c r="G90" i="219"/>
  <c r="G91" i="219"/>
  <c r="G93" i="219"/>
  <c r="H90" i="219"/>
  <c r="H91" i="219"/>
  <c r="H93" i="219"/>
  <c r="I90" i="219"/>
  <c r="I91" i="219"/>
  <c r="I93" i="219"/>
  <c r="J90" i="219"/>
  <c r="J91" i="219"/>
  <c r="J93" i="219"/>
  <c r="K90" i="219"/>
  <c r="K91" i="219"/>
  <c r="K93" i="219"/>
  <c r="P93" i="219"/>
  <c r="D92" i="219"/>
  <c r="E92" i="219"/>
  <c r="F92" i="219"/>
  <c r="G92" i="219"/>
  <c r="H92" i="219"/>
  <c r="I92" i="219"/>
  <c r="J92" i="219"/>
  <c r="K92" i="219"/>
  <c r="P92" i="219"/>
  <c r="P91" i="219"/>
  <c r="P90" i="219"/>
  <c r="P87" i="219"/>
  <c r="P85" i="219"/>
  <c r="P84" i="219"/>
  <c r="P83" i="219"/>
  <c r="P82" i="219"/>
  <c r="P81" i="219"/>
  <c r="P80" i="219"/>
  <c r="P79" i="219"/>
  <c r="P78" i="219"/>
  <c r="P77" i="219"/>
  <c r="P76" i="219"/>
  <c r="P75" i="219"/>
  <c r="P74" i="219"/>
  <c r="P73" i="219"/>
  <c r="P72" i="219"/>
  <c r="P71" i="219"/>
  <c r="P70" i="219"/>
  <c r="P69" i="219"/>
  <c r="P68" i="219"/>
  <c r="P67" i="219"/>
  <c r="P66" i="219"/>
  <c r="P65" i="219"/>
  <c r="P64" i="219"/>
  <c r="P63" i="219"/>
  <c r="P62" i="219"/>
  <c r="P61" i="219"/>
  <c r="P60" i="219"/>
  <c r="P59" i="219"/>
  <c r="P58" i="219"/>
  <c r="P57" i="219"/>
  <c r="P56" i="219"/>
  <c r="P54" i="219"/>
  <c r="P53" i="219"/>
  <c r="P52" i="219"/>
  <c r="P51" i="219"/>
  <c r="P50" i="219"/>
  <c r="P49" i="219"/>
  <c r="P48" i="219"/>
  <c r="P47" i="219"/>
  <c r="P46" i="219"/>
  <c r="P45" i="219"/>
  <c r="P44" i="219"/>
  <c r="O2" i="219"/>
  <c r="O43" i="219"/>
  <c r="N2" i="219"/>
  <c r="N43" i="219"/>
  <c r="M2" i="219"/>
  <c r="M43" i="219"/>
  <c r="L2" i="219"/>
  <c r="L43" i="219"/>
  <c r="K2" i="219"/>
  <c r="K43" i="219"/>
  <c r="J2" i="219"/>
  <c r="J43" i="219"/>
  <c r="I2" i="219"/>
  <c r="I43" i="219"/>
  <c r="H2" i="219"/>
  <c r="H43" i="219"/>
  <c r="G2" i="219"/>
  <c r="G43" i="219"/>
  <c r="F2" i="219"/>
  <c r="F43" i="219"/>
  <c r="E2" i="219"/>
  <c r="E43" i="219"/>
  <c r="D2" i="219"/>
  <c r="D43" i="219"/>
  <c r="C43" i="219"/>
  <c r="I23" i="219"/>
  <c r="J23" i="219"/>
  <c r="K23" i="219"/>
  <c r="L23" i="219"/>
  <c r="E1" i="219"/>
  <c r="F1" i="219"/>
  <c r="G1" i="219"/>
  <c r="H1" i="219"/>
  <c r="I1" i="219"/>
  <c r="J1" i="219"/>
  <c r="K1" i="219"/>
  <c r="L1" i="219"/>
  <c r="M1" i="219"/>
  <c r="N1" i="219"/>
  <c r="O1" i="219"/>
  <c r="M24" i="18"/>
  <c r="E9" i="63"/>
  <c r="F9" i="63"/>
  <c r="G9" i="63"/>
  <c r="H9" i="63"/>
  <c r="I9" i="63"/>
  <c r="K9" i="63"/>
  <c r="L9" i="63"/>
  <c r="M9" i="63"/>
  <c r="E10" i="63"/>
  <c r="F10" i="63"/>
  <c r="G10" i="63"/>
  <c r="H10" i="63"/>
  <c r="I10" i="63"/>
  <c r="K10" i="63"/>
  <c r="L10" i="63"/>
  <c r="M10" i="63"/>
  <c r="E1" i="63"/>
  <c r="F1" i="63"/>
  <c r="G1" i="63"/>
  <c r="H1" i="63"/>
  <c r="I1" i="63"/>
  <c r="J1" i="63"/>
  <c r="K1" i="63"/>
  <c r="L1" i="63"/>
  <c r="M1" i="63"/>
  <c r="N1" i="63"/>
  <c r="O1" i="63"/>
  <c r="A2" i="63"/>
  <c r="A3" i="63"/>
  <c r="A4" i="63"/>
  <c r="E4" i="63"/>
  <c r="F4" i="63"/>
  <c r="G4" i="63"/>
  <c r="H4" i="63"/>
  <c r="I4" i="63"/>
  <c r="J4" i="63"/>
  <c r="K4" i="63"/>
  <c r="L4" i="63"/>
  <c r="M4" i="63"/>
  <c r="N4" i="63"/>
  <c r="O4" i="63"/>
  <c r="A5" i="63"/>
  <c r="D5" i="63"/>
  <c r="E5" i="63"/>
  <c r="F5" i="63"/>
  <c r="G5" i="63"/>
  <c r="H5" i="63"/>
  <c r="I5" i="63"/>
  <c r="J5" i="63"/>
  <c r="K5" i="63"/>
  <c r="L5" i="63"/>
  <c r="M5" i="63"/>
  <c r="N5" i="63"/>
  <c r="O5" i="63"/>
  <c r="A6" i="63"/>
  <c r="E6" i="63"/>
  <c r="F6" i="63"/>
  <c r="G6" i="63"/>
  <c r="H6" i="63"/>
  <c r="I6" i="63"/>
  <c r="J6" i="63"/>
  <c r="K6" i="63"/>
  <c r="L6" i="63"/>
  <c r="M6" i="63"/>
  <c r="N6" i="63"/>
  <c r="O6" i="63"/>
  <c r="A7" i="63"/>
  <c r="A8" i="63"/>
  <c r="E8" i="63"/>
  <c r="F8" i="63"/>
  <c r="G8" i="63"/>
  <c r="H8" i="63"/>
  <c r="I8" i="63"/>
  <c r="J8" i="63"/>
  <c r="K8" i="63"/>
  <c r="L8" i="63"/>
  <c r="M8" i="63"/>
  <c r="N8" i="63"/>
  <c r="O8" i="63"/>
  <c r="A9" i="63"/>
  <c r="N9" i="63"/>
  <c r="O9" i="63"/>
  <c r="A10" i="63"/>
  <c r="N10" i="63"/>
  <c r="O10" i="63"/>
  <c r="A11" i="63"/>
  <c r="E11" i="63"/>
  <c r="F11" i="63"/>
  <c r="G11" i="63"/>
  <c r="H11" i="63"/>
  <c r="I11" i="63"/>
  <c r="J11" i="63"/>
  <c r="K11" i="63"/>
  <c r="L11" i="63"/>
  <c r="M11" i="63"/>
  <c r="N11" i="63"/>
  <c r="O11" i="63"/>
  <c r="A12" i="63"/>
  <c r="E12" i="63"/>
  <c r="F12" i="63"/>
  <c r="G12" i="63"/>
  <c r="H12" i="63"/>
  <c r="I12" i="63"/>
  <c r="J12" i="63"/>
  <c r="K12" i="63"/>
  <c r="L12" i="63"/>
  <c r="M12" i="63"/>
  <c r="N12" i="63"/>
  <c r="O12" i="63"/>
  <c r="A13" i="63"/>
  <c r="E13" i="63"/>
  <c r="F13" i="63"/>
  <c r="G13" i="63"/>
  <c r="H13" i="63"/>
  <c r="I13" i="63"/>
  <c r="J13" i="63"/>
  <c r="K13" i="63"/>
  <c r="L13" i="63"/>
  <c r="M13" i="63"/>
  <c r="N13" i="63"/>
  <c r="O13" i="63"/>
  <c r="A14" i="63"/>
  <c r="E14" i="63"/>
  <c r="F14" i="63"/>
  <c r="G14" i="63"/>
  <c r="H14" i="63"/>
  <c r="I14" i="63"/>
  <c r="J14" i="63"/>
  <c r="K14" i="63"/>
  <c r="L14" i="63"/>
  <c r="M14" i="63"/>
  <c r="N14" i="63"/>
  <c r="O14" i="63"/>
  <c r="A15" i="63"/>
  <c r="E15" i="63"/>
  <c r="F15" i="63"/>
  <c r="G15" i="63"/>
  <c r="H15" i="63"/>
  <c r="I15" i="63"/>
  <c r="J15" i="63"/>
  <c r="K15" i="63"/>
  <c r="L15" i="63"/>
  <c r="M15" i="63"/>
  <c r="N15" i="63"/>
  <c r="O15" i="63"/>
  <c r="A16" i="63"/>
  <c r="E16" i="63"/>
  <c r="F16" i="63"/>
  <c r="G16" i="63"/>
  <c r="H16" i="63"/>
  <c r="I16" i="63"/>
  <c r="K16" i="63"/>
  <c r="L16" i="63"/>
  <c r="M16" i="63"/>
  <c r="N16" i="63"/>
  <c r="O16" i="63"/>
  <c r="A17" i="63"/>
  <c r="E17" i="63"/>
  <c r="F17" i="63"/>
  <c r="G17" i="63"/>
  <c r="H17" i="63"/>
  <c r="I17" i="63"/>
  <c r="J17" i="63"/>
  <c r="K17" i="63"/>
  <c r="L17" i="63"/>
  <c r="M17" i="63"/>
  <c r="N17" i="63"/>
  <c r="O17" i="63"/>
  <c r="A18" i="63"/>
  <c r="E18" i="63"/>
  <c r="F18" i="63"/>
  <c r="G18" i="63"/>
  <c r="H18" i="63"/>
  <c r="I18" i="63"/>
  <c r="J18" i="63"/>
  <c r="K18" i="63"/>
  <c r="L18" i="63"/>
  <c r="M18" i="63"/>
  <c r="N18" i="63"/>
  <c r="O18" i="63"/>
  <c r="A19" i="63"/>
  <c r="E19" i="63"/>
  <c r="F19" i="63"/>
  <c r="G19" i="63"/>
  <c r="H19" i="63"/>
  <c r="I19" i="63"/>
  <c r="J19" i="63"/>
  <c r="K19" i="63"/>
  <c r="L19" i="63"/>
  <c r="M19" i="63"/>
  <c r="N19" i="63"/>
  <c r="O19" i="63"/>
  <c r="A20" i="63"/>
  <c r="E20" i="63"/>
  <c r="F20" i="63"/>
  <c r="G20" i="63"/>
  <c r="H20" i="63"/>
  <c r="I20" i="63"/>
  <c r="J20" i="63"/>
  <c r="K20" i="63"/>
  <c r="L20" i="63"/>
  <c r="M20" i="63"/>
  <c r="N20" i="63"/>
  <c r="O20" i="63"/>
  <c r="A21" i="63"/>
  <c r="A22" i="63"/>
  <c r="A23" i="63"/>
  <c r="E23" i="63"/>
  <c r="F23" i="63"/>
  <c r="G23" i="63"/>
  <c r="H23" i="63"/>
  <c r="I23" i="63"/>
  <c r="J23" i="63"/>
  <c r="K23" i="63"/>
  <c r="L23" i="63"/>
  <c r="A24" i="63"/>
  <c r="N24" i="63"/>
  <c r="O24" i="63"/>
  <c r="A25" i="63"/>
  <c r="A26" i="63"/>
  <c r="E26" i="63"/>
  <c r="F26" i="63"/>
  <c r="G26" i="63"/>
  <c r="H26" i="63"/>
  <c r="I26" i="63"/>
  <c r="K26" i="63"/>
  <c r="L26" i="63"/>
  <c r="M26" i="63"/>
  <c r="N26" i="63"/>
  <c r="O26" i="63"/>
  <c r="A27" i="63"/>
  <c r="E27" i="63"/>
  <c r="F27" i="63"/>
  <c r="G27" i="63"/>
  <c r="H27" i="63"/>
  <c r="I27" i="63"/>
  <c r="K27" i="63"/>
  <c r="L27" i="63"/>
  <c r="M27" i="63"/>
  <c r="N27" i="63"/>
  <c r="O27" i="63"/>
  <c r="A28" i="63"/>
  <c r="A29" i="63"/>
  <c r="A30" i="63"/>
  <c r="A31" i="63"/>
  <c r="A32" i="63"/>
  <c r="A33" i="63"/>
  <c r="A34" i="63"/>
  <c r="A35" i="63"/>
  <c r="A36" i="63"/>
  <c r="A37" i="63"/>
  <c r="D102" i="63"/>
  <c r="D103" i="63"/>
  <c r="D104" i="63"/>
  <c r="D105" i="63"/>
  <c r="D46" i="63"/>
  <c r="D47" i="63"/>
  <c r="D48" i="63"/>
  <c r="D49" i="63"/>
  <c r="D50" i="63"/>
  <c r="D51" i="63"/>
  <c r="D52" i="63"/>
  <c r="D53" i="63"/>
  <c r="D54" i="63"/>
  <c r="D59" i="63"/>
  <c r="D60" i="63"/>
  <c r="D63" i="63"/>
  <c r="E102" i="63"/>
  <c r="E103" i="63"/>
  <c r="E104" i="63"/>
  <c r="E105" i="63"/>
  <c r="E46" i="63"/>
  <c r="E47" i="63"/>
  <c r="E48" i="63"/>
  <c r="E49" i="63"/>
  <c r="E50" i="63"/>
  <c r="E51" i="63"/>
  <c r="E52" i="63"/>
  <c r="E53" i="63"/>
  <c r="E54" i="63"/>
  <c r="E59" i="63"/>
  <c r="E60" i="63"/>
  <c r="E63" i="63"/>
  <c r="F102" i="63"/>
  <c r="F103" i="63"/>
  <c r="F104" i="63"/>
  <c r="F105" i="63"/>
  <c r="F46" i="63"/>
  <c r="F47" i="63"/>
  <c r="F48" i="63"/>
  <c r="F49" i="63"/>
  <c r="F50" i="63"/>
  <c r="F51" i="63"/>
  <c r="F52" i="63"/>
  <c r="F53" i="63"/>
  <c r="F54" i="63"/>
  <c r="F59" i="63"/>
  <c r="F60" i="63"/>
  <c r="F63" i="63"/>
  <c r="G102" i="63"/>
  <c r="G103" i="63"/>
  <c r="G104" i="63"/>
  <c r="G105" i="63"/>
  <c r="G46" i="63"/>
  <c r="G47" i="63"/>
  <c r="G48" i="63"/>
  <c r="G49" i="63"/>
  <c r="G50" i="63"/>
  <c r="G51" i="63"/>
  <c r="G52" i="63"/>
  <c r="G53" i="63"/>
  <c r="G54" i="63"/>
  <c r="G59" i="63"/>
  <c r="G60" i="63"/>
  <c r="G63" i="63"/>
  <c r="H102" i="63"/>
  <c r="H103" i="63"/>
  <c r="H104" i="63"/>
  <c r="H105" i="63"/>
  <c r="H46" i="63"/>
  <c r="H47" i="63"/>
  <c r="H48" i="63"/>
  <c r="H49" i="63"/>
  <c r="H50" i="63"/>
  <c r="H51" i="63"/>
  <c r="H52" i="63"/>
  <c r="H53" i="63"/>
  <c r="H54" i="63"/>
  <c r="H59" i="63"/>
  <c r="H60" i="63"/>
  <c r="H63" i="63"/>
  <c r="A38" i="63"/>
  <c r="A39" i="63"/>
  <c r="A40" i="63"/>
  <c r="A41" i="63"/>
  <c r="A42" i="63"/>
  <c r="A43" i="63"/>
  <c r="C43" i="63"/>
  <c r="D43" i="63"/>
  <c r="E43" i="63"/>
  <c r="F43" i="63"/>
  <c r="G43" i="63"/>
  <c r="H43" i="63"/>
  <c r="I43" i="63"/>
  <c r="J43" i="63"/>
  <c r="K43" i="63"/>
  <c r="L43" i="63"/>
  <c r="M43" i="63"/>
  <c r="N43" i="63"/>
  <c r="O43" i="63"/>
  <c r="A44" i="63"/>
  <c r="P44" i="63"/>
  <c r="A45" i="63"/>
  <c r="P45" i="63"/>
  <c r="A46" i="63"/>
  <c r="I102" i="63"/>
  <c r="I103" i="63"/>
  <c r="I104" i="63"/>
  <c r="I105" i="63"/>
  <c r="I46" i="63"/>
  <c r="J102" i="63"/>
  <c r="J103" i="63"/>
  <c r="J104" i="63"/>
  <c r="J105" i="63"/>
  <c r="J46" i="63"/>
  <c r="K102" i="63"/>
  <c r="K103" i="63"/>
  <c r="K104" i="63"/>
  <c r="K105" i="63"/>
  <c r="K46" i="63"/>
  <c r="L102" i="63"/>
  <c r="L103" i="63"/>
  <c r="L104" i="63"/>
  <c r="L105" i="63"/>
  <c r="M102" i="63"/>
  <c r="M103" i="63"/>
  <c r="M104" i="63"/>
  <c r="M105" i="63"/>
  <c r="M46" i="63"/>
  <c r="N102" i="63"/>
  <c r="N103" i="63"/>
  <c r="N104" i="63"/>
  <c r="N105" i="63"/>
  <c r="N46" i="63"/>
  <c r="O102" i="63"/>
  <c r="O103" i="63"/>
  <c r="O104" i="63"/>
  <c r="O105" i="63"/>
  <c r="O46" i="63"/>
  <c r="P46" i="63"/>
  <c r="A47" i="63"/>
  <c r="I47" i="63"/>
  <c r="J47" i="63"/>
  <c r="K47" i="63"/>
  <c r="M47" i="63"/>
  <c r="N47" i="63"/>
  <c r="O47" i="63"/>
  <c r="P47" i="63"/>
  <c r="A48" i="63"/>
  <c r="I48" i="63"/>
  <c r="J48" i="63"/>
  <c r="K48" i="63"/>
  <c r="M48" i="63"/>
  <c r="N48" i="63"/>
  <c r="O48" i="63"/>
  <c r="P48" i="63"/>
  <c r="A49" i="63"/>
  <c r="I49" i="63"/>
  <c r="J49" i="63"/>
  <c r="K49" i="63"/>
  <c r="M49" i="63"/>
  <c r="N49" i="63"/>
  <c r="O49" i="63"/>
  <c r="P49" i="63"/>
  <c r="A50" i="63"/>
  <c r="I50" i="63"/>
  <c r="J50" i="63"/>
  <c r="K50" i="63"/>
  <c r="M50" i="63"/>
  <c r="N50" i="63"/>
  <c r="O50" i="63"/>
  <c r="P50" i="63"/>
  <c r="A51" i="63"/>
  <c r="I51" i="63"/>
  <c r="J51" i="63"/>
  <c r="K51" i="63"/>
  <c r="M51" i="63"/>
  <c r="N51" i="63"/>
  <c r="O51" i="63"/>
  <c r="P51" i="63"/>
  <c r="A52" i="63"/>
  <c r="I52" i="63"/>
  <c r="J52" i="63"/>
  <c r="K52" i="63"/>
  <c r="M52" i="63"/>
  <c r="N52" i="63"/>
  <c r="O52" i="63"/>
  <c r="P52" i="63"/>
  <c r="A53" i="63"/>
  <c r="I53" i="63"/>
  <c r="J53" i="63"/>
  <c r="K53" i="63"/>
  <c r="M53" i="63"/>
  <c r="N53" i="63"/>
  <c r="O53" i="63"/>
  <c r="P53" i="63"/>
  <c r="A54" i="63"/>
  <c r="I54" i="63"/>
  <c r="J54" i="63"/>
  <c r="K54" i="63"/>
  <c r="M54" i="63"/>
  <c r="N54" i="63"/>
  <c r="O54" i="63"/>
  <c r="P54" i="63"/>
  <c r="A55" i="63"/>
  <c r="P55" i="63"/>
  <c r="A56" i="63"/>
  <c r="P56" i="63"/>
  <c r="A57" i="63"/>
  <c r="P57" i="63"/>
  <c r="A58" i="63"/>
  <c r="P58" i="63"/>
  <c r="A59" i="63"/>
  <c r="I59" i="63"/>
  <c r="J59" i="63"/>
  <c r="K59" i="63"/>
  <c r="M59" i="63"/>
  <c r="N59" i="63"/>
  <c r="O59" i="63"/>
  <c r="P59" i="63"/>
  <c r="A60" i="63"/>
  <c r="I60" i="63"/>
  <c r="J60" i="63"/>
  <c r="K60" i="63"/>
  <c r="M60" i="63"/>
  <c r="N60" i="63"/>
  <c r="O60" i="63"/>
  <c r="P60" i="63"/>
  <c r="A61" i="63"/>
  <c r="P61" i="63"/>
  <c r="A62" i="63"/>
  <c r="P62" i="63"/>
  <c r="A63" i="63"/>
  <c r="I63" i="63"/>
  <c r="J63" i="63"/>
  <c r="K63" i="63"/>
  <c r="L63" i="63"/>
  <c r="P63" i="63"/>
  <c r="A64" i="63"/>
  <c r="D64" i="63"/>
  <c r="E64" i="63"/>
  <c r="F64" i="63"/>
  <c r="G64" i="63"/>
  <c r="H64" i="63"/>
  <c r="I64" i="63"/>
  <c r="J64" i="63"/>
  <c r="K64" i="63"/>
  <c r="L64" i="63"/>
  <c r="M64" i="63"/>
  <c r="N64" i="63"/>
  <c r="O64" i="63"/>
  <c r="P64" i="63"/>
  <c r="A65" i="63"/>
  <c r="D65" i="63"/>
  <c r="E65" i="63"/>
  <c r="F65" i="63"/>
  <c r="G65" i="63"/>
  <c r="H65" i="63"/>
  <c r="I65" i="63"/>
  <c r="J65" i="63"/>
  <c r="K65" i="63"/>
  <c r="L65" i="63"/>
  <c r="M65" i="63"/>
  <c r="N65" i="63"/>
  <c r="O65" i="63"/>
  <c r="P65" i="63"/>
  <c r="A66" i="63"/>
  <c r="D66" i="63"/>
  <c r="E66" i="63"/>
  <c r="F66" i="63"/>
  <c r="G66" i="63"/>
  <c r="H66" i="63"/>
  <c r="I66" i="63"/>
  <c r="J66" i="63"/>
  <c r="K66" i="63"/>
  <c r="L66" i="63"/>
  <c r="M66" i="63"/>
  <c r="N66" i="63"/>
  <c r="O66" i="63"/>
  <c r="P66" i="63"/>
  <c r="A67" i="63"/>
  <c r="D67" i="63"/>
  <c r="E67" i="63"/>
  <c r="F67" i="63"/>
  <c r="G67" i="63"/>
  <c r="H67" i="63"/>
  <c r="I67" i="63"/>
  <c r="J67" i="63"/>
  <c r="K67" i="63"/>
  <c r="L67" i="63"/>
  <c r="M67" i="63"/>
  <c r="N67" i="63"/>
  <c r="O67" i="63"/>
  <c r="P67" i="63"/>
  <c r="A68" i="63"/>
  <c r="D68" i="63"/>
  <c r="E68" i="63"/>
  <c r="F68" i="63"/>
  <c r="G68" i="63"/>
  <c r="H68" i="63"/>
  <c r="I68" i="63"/>
  <c r="J68" i="63"/>
  <c r="K68" i="63"/>
  <c r="L68" i="63"/>
  <c r="M68" i="63"/>
  <c r="N68" i="63"/>
  <c r="O68" i="63"/>
  <c r="P68" i="63"/>
  <c r="A69" i="63"/>
  <c r="D69" i="63"/>
  <c r="E69" i="63"/>
  <c r="F69" i="63"/>
  <c r="G69" i="63"/>
  <c r="H69" i="63"/>
  <c r="I69" i="63"/>
  <c r="J69" i="63"/>
  <c r="K69" i="63"/>
  <c r="L69" i="63"/>
  <c r="M69" i="63"/>
  <c r="N69" i="63"/>
  <c r="O69" i="63"/>
  <c r="P69" i="63"/>
  <c r="A70" i="63"/>
  <c r="D70" i="63"/>
  <c r="E70" i="63"/>
  <c r="F70" i="63"/>
  <c r="G70" i="63"/>
  <c r="H70" i="63"/>
  <c r="I70" i="63"/>
  <c r="J70" i="63"/>
  <c r="K70" i="63"/>
  <c r="L70" i="63"/>
  <c r="M70" i="63"/>
  <c r="N70" i="63"/>
  <c r="O70" i="63"/>
  <c r="P70" i="63"/>
  <c r="A71" i="63"/>
  <c r="D71" i="63"/>
  <c r="E71" i="63"/>
  <c r="F71" i="63"/>
  <c r="G71" i="63"/>
  <c r="H71" i="63"/>
  <c r="I71" i="63"/>
  <c r="J71" i="63"/>
  <c r="K71" i="63"/>
  <c r="L71" i="63"/>
  <c r="M71" i="63"/>
  <c r="N71" i="63"/>
  <c r="O71" i="63"/>
  <c r="P71" i="63"/>
  <c r="A72" i="63"/>
  <c r="D72" i="63"/>
  <c r="E72" i="63"/>
  <c r="F72" i="63"/>
  <c r="G72" i="63"/>
  <c r="H72" i="63"/>
  <c r="I72" i="63"/>
  <c r="J72" i="63"/>
  <c r="K72" i="63"/>
  <c r="L72" i="63"/>
  <c r="M72" i="63"/>
  <c r="N72" i="63"/>
  <c r="O72" i="63"/>
  <c r="P72" i="63"/>
  <c r="A73" i="63"/>
  <c r="D73" i="63"/>
  <c r="E73" i="63"/>
  <c r="F73" i="63"/>
  <c r="G73" i="63"/>
  <c r="H73" i="63"/>
  <c r="I73" i="63"/>
  <c r="J73" i="63"/>
  <c r="K73" i="63"/>
  <c r="L73" i="63"/>
  <c r="M73" i="63"/>
  <c r="N73" i="63"/>
  <c r="O73" i="63"/>
  <c r="P73" i="63"/>
  <c r="A74" i="63"/>
  <c r="D74" i="63"/>
  <c r="E74" i="63"/>
  <c r="F74" i="63"/>
  <c r="G74" i="63"/>
  <c r="H74" i="63"/>
  <c r="I74" i="63"/>
  <c r="J74" i="63"/>
  <c r="K74" i="63"/>
  <c r="L74" i="63"/>
  <c r="M74" i="63"/>
  <c r="N74" i="63"/>
  <c r="O74" i="63"/>
  <c r="P74" i="63"/>
  <c r="A75" i="63"/>
  <c r="D75" i="63"/>
  <c r="E75" i="63"/>
  <c r="F75" i="63"/>
  <c r="G75" i="63"/>
  <c r="H75" i="63"/>
  <c r="I75" i="63"/>
  <c r="J75" i="63"/>
  <c r="K75" i="63"/>
  <c r="L75" i="63"/>
  <c r="M75" i="63"/>
  <c r="N75" i="63"/>
  <c r="O75" i="63"/>
  <c r="P75" i="63"/>
  <c r="A76" i="63"/>
  <c r="D76" i="63"/>
  <c r="E76" i="63"/>
  <c r="F76" i="63"/>
  <c r="G76" i="63"/>
  <c r="H76" i="63"/>
  <c r="I76" i="63"/>
  <c r="J76" i="63"/>
  <c r="K76" i="63"/>
  <c r="L76" i="63"/>
  <c r="M76" i="63"/>
  <c r="N76" i="63"/>
  <c r="O76" i="63"/>
  <c r="P76" i="63"/>
  <c r="A77" i="63"/>
  <c r="D77" i="63"/>
  <c r="E77" i="63"/>
  <c r="F77" i="63"/>
  <c r="G77" i="63"/>
  <c r="H77" i="63"/>
  <c r="I77" i="63"/>
  <c r="J77" i="63"/>
  <c r="K77" i="63"/>
  <c r="L77" i="63"/>
  <c r="M77" i="63"/>
  <c r="N77" i="63"/>
  <c r="O77" i="63"/>
  <c r="P77" i="63"/>
  <c r="A78" i="63"/>
  <c r="D78" i="63"/>
  <c r="E78" i="63"/>
  <c r="F78" i="63"/>
  <c r="G78" i="63"/>
  <c r="H78" i="63"/>
  <c r="I78" i="63"/>
  <c r="J78" i="63"/>
  <c r="K78" i="63"/>
  <c r="L78" i="63"/>
  <c r="M78" i="63"/>
  <c r="N78" i="63"/>
  <c r="O78" i="63"/>
  <c r="P78" i="63"/>
  <c r="A79" i="63"/>
  <c r="D79" i="63"/>
  <c r="E79" i="63"/>
  <c r="F79" i="63"/>
  <c r="G79" i="63"/>
  <c r="H79" i="63"/>
  <c r="I79" i="63"/>
  <c r="J79" i="63"/>
  <c r="K79" i="63"/>
  <c r="L79" i="63"/>
  <c r="M79" i="63"/>
  <c r="N79" i="63"/>
  <c r="O79" i="63"/>
  <c r="P79" i="63"/>
  <c r="A80" i="63"/>
  <c r="D80" i="63"/>
  <c r="E80" i="63"/>
  <c r="F80" i="63"/>
  <c r="G80" i="63"/>
  <c r="H80" i="63"/>
  <c r="I80" i="63"/>
  <c r="J80" i="63"/>
  <c r="K80" i="63"/>
  <c r="L80" i="63"/>
  <c r="M80" i="63"/>
  <c r="N80" i="63"/>
  <c r="O80" i="63"/>
  <c r="P80" i="63"/>
  <c r="A81" i="63"/>
  <c r="D81" i="63"/>
  <c r="E81" i="63"/>
  <c r="F81" i="63"/>
  <c r="G81" i="63"/>
  <c r="H81" i="63"/>
  <c r="I81" i="63"/>
  <c r="J81" i="63"/>
  <c r="K81" i="63"/>
  <c r="L81" i="63"/>
  <c r="M81" i="63"/>
  <c r="N81" i="63"/>
  <c r="O81" i="63"/>
  <c r="P81" i="63"/>
  <c r="A82" i="63"/>
  <c r="D94" i="63"/>
  <c r="D82" i="63"/>
  <c r="E94" i="63"/>
  <c r="E82" i="63"/>
  <c r="F94" i="63"/>
  <c r="F82" i="63"/>
  <c r="G94" i="63"/>
  <c r="G82" i="63"/>
  <c r="H94" i="63"/>
  <c r="H82" i="63"/>
  <c r="I94" i="63"/>
  <c r="I82" i="63"/>
  <c r="J94" i="63"/>
  <c r="J82" i="63"/>
  <c r="K94" i="63"/>
  <c r="K82" i="63"/>
  <c r="L94" i="63"/>
  <c r="L82" i="63"/>
  <c r="M94" i="63"/>
  <c r="M82" i="63"/>
  <c r="N94" i="63"/>
  <c r="N82" i="63"/>
  <c r="O94" i="63"/>
  <c r="O82" i="63"/>
  <c r="P82" i="63"/>
  <c r="A83" i="63"/>
  <c r="D83" i="63"/>
  <c r="E83" i="63"/>
  <c r="F83" i="63"/>
  <c r="G83" i="63"/>
  <c r="H83" i="63"/>
  <c r="I83" i="63"/>
  <c r="J83" i="63"/>
  <c r="K83" i="63"/>
  <c r="L83" i="63"/>
  <c r="M83" i="63"/>
  <c r="N83" i="63"/>
  <c r="O83" i="63"/>
  <c r="P83" i="63"/>
  <c r="A84" i="63"/>
  <c r="D84" i="63"/>
  <c r="E84" i="63"/>
  <c r="F84" i="63"/>
  <c r="G84" i="63"/>
  <c r="H84" i="63"/>
  <c r="I84" i="63"/>
  <c r="J84" i="63"/>
  <c r="K84" i="63"/>
  <c r="L84" i="63"/>
  <c r="M84" i="63"/>
  <c r="N84" i="63"/>
  <c r="O84" i="63"/>
  <c r="P84" i="63"/>
  <c r="A85" i="63"/>
  <c r="D85" i="63"/>
  <c r="E85" i="63"/>
  <c r="F85" i="63"/>
  <c r="G85" i="63"/>
  <c r="H85" i="63"/>
  <c r="I85" i="63"/>
  <c r="J85" i="63"/>
  <c r="K85" i="63"/>
  <c r="L85" i="63"/>
  <c r="M85" i="63"/>
  <c r="N85" i="63"/>
  <c r="O85" i="63"/>
  <c r="P85" i="63"/>
  <c r="A86" i="63"/>
  <c r="D86" i="63"/>
  <c r="E86" i="63"/>
  <c r="F86" i="63"/>
  <c r="G86" i="63"/>
  <c r="H86" i="63"/>
  <c r="I86" i="63"/>
  <c r="J86" i="63"/>
  <c r="K86" i="63"/>
  <c r="L86" i="63"/>
  <c r="M86" i="63"/>
  <c r="N86" i="63"/>
  <c r="O86" i="63"/>
  <c r="A87" i="63"/>
  <c r="D87" i="63"/>
  <c r="E87" i="63"/>
  <c r="F87" i="63"/>
  <c r="G87" i="63"/>
  <c r="H87" i="63"/>
  <c r="I87" i="63"/>
  <c r="J87" i="63"/>
  <c r="K87" i="63"/>
  <c r="L87" i="63"/>
  <c r="M87" i="63"/>
  <c r="N87" i="63"/>
  <c r="O87" i="63"/>
  <c r="P87" i="63"/>
  <c r="A88" i="63"/>
  <c r="A89" i="63"/>
  <c r="A90" i="63"/>
  <c r="D90" i="63"/>
  <c r="E90" i="63"/>
  <c r="F90" i="63"/>
  <c r="G90" i="63"/>
  <c r="H90" i="63"/>
  <c r="I90" i="63"/>
  <c r="J90" i="63"/>
  <c r="K90" i="63"/>
  <c r="L90" i="63"/>
  <c r="M90" i="63"/>
  <c r="N90" i="63"/>
  <c r="O90" i="63"/>
  <c r="P90" i="63"/>
  <c r="A91" i="63"/>
  <c r="D91" i="63"/>
  <c r="E91" i="63"/>
  <c r="F91" i="63"/>
  <c r="G91" i="63"/>
  <c r="H91" i="63"/>
  <c r="I91" i="63"/>
  <c r="J91" i="63"/>
  <c r="K91" i="63"/>
  <c r="L91" i="63"/>
  <c r="M91" i="63"/>
  <c r="N91" i="63"/>
  <c r="O91" i="63"/>
  <c r="P91" i="63"/>
  <c r="A92" i="63"/>
  <c r="D92" i="63"/>
  <c r="E92" i="63"/>
  <c r="F92" i="63"/>
  <c r="G92" i="63"/>
  <c r="H92" i="63"/>
  <c r="I92" i="63"/>
  <c r="J92" i="63"/>
  <c r="K92" i="63"/>
  <c r="L92" i="63"/>
  <c r="M92" i="63"/>
  <c r="N92" i="63"/>
  <c r="O92" i="63"/>
  <c r="P92" i="63"/>
  <c r="A93" i="63"/>
  <c r="D93" i="63"/>
  <c r="E93" i="63"/>
  <c r="F93" i="63"/>
  <c r="G93" i="63"/>
  <c r="H93" i="63"/>
  <c r="I93" i="63"/>
  <c r="J93" i="63"/>
  <c r="K93" i="63"/>
  <c r="L93" i="63"/>
  <c r="M93" i="63"/>
  <c r="N93" i="63"/>
  <c r="O93" i="63"/>
  <c r="P93" i="63"/>
  <c r="A94" i="63"/>
  <c r="P94" i="63"/>
  <c r="A95" i="63"/>
  <c r="P95" i="63"/>
  <c r="A96" i="63"/>
  <c r="D96" i="63"/>
  <c r="E96" i="63"/>
  <c r="F96" i="63"/>
  <c r="G96" i="63"/>
  <c r="H96" i="63"/>
  <c r="I96" i="63"/>
  <c r="J96" i="63"/>
  <c r="K96" i="63"/>
  <c r="L96" i="63"/>
  <c r="M96" i="63"/>
  <c r="N96" i="63"/>
  <c r="O96" i="63"/>
  <c r="P96" i="63"/>
  <c r="A97" i="63"/>
  <c r="D97" i="63"/>
  <c r="E97" i="63"/>
  <c r="F97" i="63"/>
  <c r="G97" i="63"/>
  <c r="H97" i="63"/>
  <c r="I97" i="63"/>
  <c r="J97" i="63"/>
  <c r="K97" i="63"/>
  <c r="L97" i="63"/>
  <c r="M97" i="63"/>
  <c r="N97" i="63"/>
  <c r="O97" i="63"/>
  <c r="P97" i="63"/>
  <c r="A98" i="63"/>
  <c r="D98" i="63"/>
  <c r="E98" i="63"/>
  <c r="F98" i="63"/>
  <c r="G98" i="63"/>
  <c r="H98" i="63"/>
  <c r="P98" i="63"/>
  <c r="A99" i="63"/>
  <c r="I99" i="63"/>
  <c r="J99" i="63"/>
  <c r="K99" i="63"/>
  <c r="L99" i="63"/>
  <c r="M99" i="63"/>
  <c r="N99" i="63"/>
  <c r="O99" i="63"/>
  <c r="P99" i="63"/>
  <c r="A100" i="63"/>
  <c r="D100" i="63"/>
  <c r="E100" i="63"/>
  <c r="F100" i="63"/>
  <c r="G100" i="63"/>
  <c r="H100" i="63"/>
  <c r="I100" i="63"/>
  <c r="J100" i="63"/>
  <c r="K100" i="63"/>
  <c r="L100" i="63"/>
  <c r="M100" i="63"/>
  <c r="N100" i="63"/>
  <c r="O100" i="63"/>
  <c r="A101" i="63"/>
  <c r="D101" i="63"/>
  <c r="E101" i="63"/>
  <c r="F101" i="63"/>
  <c r="G101" i="63"/>
  <c r="H101" i="63"/>
  <c r="I101" i="63"/>
  <c r="J101" i="63"/>
  <c r="K101" i="63"/>
  <c r="L101" i="63"/>
  <c r="M101" i="63"/>
  <c r="N101" i="63"/>
  <c r="O101" i="63"/>
  <c r="A102" i="63"/>
  <c r="A103" i="63"/>
  <c r="A104" i="63"/>
  <c r="A105" i="63"/>
  <c r="E1" i="18"/>
  <c r="F1" i="18"/>
  <c r="G1" i="18"/>
  <c r="H1" i="18"/>
  <c r="I1" i="18"/>
  <c r="J1" i="18"/>
  <c r="K1" i="18"/>
  <c r="L1" i="18"/>
  <c r="M1" i="18"/>
  <c r="N1" i="18"/>
  <c r="O1" i="18"/>
  <c r="A2" i="18"/>
  <c r="D2" i="18"/>
  <c r="E2" i="18"/>
  <c r="F2" i="18"/>
  <c r="G2" i="18"/>
  <c r="H2" i="18"/>
  <c r="I2" i="18"/>
  <c r="J2" i="18"/>
  <c r="K2" i="18"/>
  <c r="L2" i="18"/>
  <c r="M2" i="18"/>
  <c r="N2" i="18"/>
  <c r="O2" i="18"/>
  <c r="A3" i="18"/>
  <c r="A4" i="18"/>
  <c r="E4" i="18"/>
  <c r="F4" i="18"/>
  <c r="G4" i="18"/>
  <c r="H4" i="18"/>
  <c r="I4" i="18"/>
  <c r="J4" i="18"/>
  <c r="K4" i="18"/>
  <c r="L4" i="18"/>
  <c r="M4" i="18"/>
  <c r="N4" i="18"/>
  <c r="O4" i="18"/>
  <c r="A5" i="18"/>
  <c r="E5" i="18"/>
  <c r="F5" i="18"/>
  <c r="G5" i="18"/>
  <c r="H5" i="18"/>
  <c r="I5" i="18"/>
  <c r="J5" i="18"/>
  <c r="K5" i="18"/>
  <c r="L5" i="18"/>
  <c r="M5" i="18"/>
  <c r="N5" i="18"/>
  <c r="O5" i="18"/>
  <c r="A6" i="18"/>
  <c r="E6" i="18"/>
  <c r="F6" i="18"/>
  <c r="G6" i="18"/>
  <c r="H6" i="18"/>
  <c r="I6" i="18"/>
  <c r="J6" i="18"/>
  <c r="K6" i="18"/>
  <c r="L6" i="18"/>
  <c r="M6" i="18"/>
  <c r="N6" i="18"/>
  <c r="O6" i="18"/>
  <c r="A7" i="18"/>
  <c r="A8" i="18"/>
  <c r="E8" i="18"/>
  <c r="F8" i="18"/>
  <c r="G8" i="18"/>
  <c r="H8" i="18"/>
  <c r="I8" i="18"/>
  <c r="J8" i="18"/>
  <c r="K8" i="18"/>
  <c r="L8" i="18"/>
  <c r="M8" i="18"/>
  <c r="N8" i="18"/>
  <c r="O8" i="18"/>
  <c r="A9" i="18"/>
  <c r="E9" i="18"/>
  <c r="F9" i="18"/>
  <c r="G9" i="18"/>
  <c r="H9" i="18"/>
  <c r="I9" i="18"/>
  <c r="J9" i="18"/>
  <c r="K9" i="18"/>
  <c r="L9" i="18"/>
  <c r="M9" i="18"/>
  <c r="N9" i="18"/>
  <c r="O9" i="18"/>
  <c r="A10" i="18"/>
  <c r="E10" i="18"/>
  <c r="F10" i="18"/>
  <c r="G10" i="18"/>
  <c r="H10" i="18"/>
  <c r="I10" i="18"/>
  <c r="J10" i="18"/>
  <c r="K10" i="18"/>
  <c r="L10" i="18"/>
  <c r="M10" i="18"/>
  <c r="N10" i="18"/>
  <c r="O10" i="18"/>
  <c r="A11" i="18"/>
  <c r="E11" i="18"/>
  <c r="F11" i="18"/>
  <c r="G11" i="18"/>
  <c r="H11" i="18"/>
  <c r="I11" i="18"/>
  <c r="J11" i="18"/>
  <c r="K11" i="18"/>
  <c r="L11" i="18"/>
  <c r="M11" i="18"/>
  <c r="N11" i="18"/>
  <c r="O11" i="18"/>
  <c r="A12" i="18"/>
  <c r="E12" i="18"/>
  <c r="F12" i="18"/>
  <c r="G12" i="18"/>
  <c r="H12" i="18"/>
  <c r="I12" i="18"/>
  <c r="J12" i="18"/>
  <c r="K12" i="18"/>
  <c r="L12" i="18"/>
  <c r="M12" i="18"/>
  <c r="N12" i="18"/>
  <c r="O12" i="18"/>
  <c r="A13" i="18"/>
  <c r="E13" i="18"/>
  <c r="F13" i="18"/>
  <c r="G13" i="18"/>
  <c r="H13" i="18"/>
  <c r="I13" i="18"/>
  <c r="J13" i="18"/>
  <c r="K13" i="18"/>
  <c r="L13" i="18"/>
  <c r="M13" i="18"/>
  <c r="N13" i="18"/>
  <c r="O13" i="18"/>
  <c r="A14" i="18"/>
  <c r="E14" i="18"/>
  <c r="F14" i="18"/>
  <c r="G14" i="18"/>
  <c r="H14" i="18"/>
  <c r="I14" i="18"/>
  <c r="J14" i="18"/>
  <c r="K14" i="18"/>
  <c r="L14" i="18"/>
  <c r="M14" i="18"/>
  <c r="N14" i="18"/>
  <c r="O14" i="18"/>
  <c r="A15" i="18"/>
  <c r="E15" i="18"/>
  <c r="F15" i="18"/>
  <c r="G15" i="18"/>
  <c r="H15" i="18"/>
  <c r="I15" i="18"/>
  <c r="J15" i="18"/>
  <c r="K15" i="18"/>
  <c r="L15" i="18"/>
  <c r="M15" i="18"/>
  <c r="N15" i="18"/>
  <c r="O15" i="18"/>
  <c r="A16" i="18"/>
  <c r="E16" i="18"/>
  <c r="F16" i="18"/>
  <c r="G16" i="18"/>
  <c r="H16" i="18"/>
  <c r="I16" i="18"/>
  <c r="J16" i="18"/>
  <c r="K16" i="18"/>
  <c r="L16" i="18"/>
  <c r="M16" i="18"/>
  <c r="N16" i="18"/>
  <c r="O16" i="18"/>
  <c r="A17" i="18"/>
  <c r="E17" i="18"/>
  <c r="F17" i="18"/>
  <c r="G17" i="18"/>
  <c r="H17" i="18"/>
  <c r="I17" i="18"/>
  <c r="J17" i="18"/>
  <c r="K17" i="18"/>
  <c r="L17" i="18"/>
  <c r="M17" i="18"/>
  <c r="N17" i="18"/>
  <c r="O17" i="18"/>
  <c r="A18" i="18"/>
  <c r="E18" i="18"/>
  <c r="F18" i="18"/>
  <c r="G18" i="18"/>
  <c r="H18" i="18"/>
  <c r="I18" i="18"/>
  <c r="J18" i="18"/>
  <c r="K18" i="18"/>
  <c r="L18" i="18"/>
  <c r="M18" i="18"/>
  <c r="N18" i="18"/>
  <c r="O18" i="18"/>
  <c r="A19" i="18"/>
  <c r="E19" i="18"/>
  <c r="F19" i="18"/>
  <c r="G19" i="18"/>
  <c r="H19" i="18"/>
  <c r="I19" i="18"/>
  <c r="J19" i="18"/>
  <c r="K19" i="18"/>
  <c r="L19" i="18"/>
  <c r="M19" i="18"/>
  <c r="N19" i="18"/>
  <c r="O19" i="18"/>
  <c r="A20" i="18"/>
  <c r="E20" i="18"/>
  <c r="F20" i="18"/>
  <c r="G20" i="18"/>
  <c r="H20" i="18"/>
  <c r="I20" i="18"/>
  <c r="J20" i="18"/>
  <c r="K20" i="18"/>
  <c r="L20" i="18"/>
  <c r="M20" i="18"/>
  <c r="N20" i="18"/>
  <c r="O20" i="18"/>
  <c r="A21" i="18"/>
  <c r="A22" i="18"/>
  <c r="A23" i="18"/>
  <c r="E23" i="18"/>
  <c r="F23" i="18"/>
  <c r="G23" i="18"/>
  <c r="H23" i="18"/>
  <c r="I23" i="18"/>
  <c r="J23" i="18"/>
  <c r="K23" i="18"/>
  <c r="L23" i="18"/>
  <c r="A24" i="18"/>
  <c r="N24" i="18"/>
  <c r="O24" i="18"/>
  <c r="A25" i="18"/>
  <c r="A26" i="18"/>
  <c r="E26" i="18"/>
  <c r="F26" i="18"/>
  <c r="G26" i="18"/>
  <c r="H26" i="18"/>
  <c r="J26" i="18"/>
  <c r="K26" i="18"/>
  <c r="L26" i="18"/>
  <c r="M26" i="18"/>
  <c r="N26" i="18"/>
  <c r="O26" i="18"/>
  <c r="A27" i="18"/>
  <c r="E27" i="18"/>
  <c r="F27" i="18"/>
  <c r="G27" i="18"/>
  <c r="H27" i="18"/>
  <c r="J27" i="18"/>
  <c r="K27" i="18"/>
  <c r="L27" i="18"/>
  <c r="M27" i="18"/>
  <c r="N27" i="18"/>
  <c r="O27" i="18"/>
  <c r="A28" i="18"/>
  <c r="A29" i="18"/>
  <c r="A30" i="18"/>
  <c r="A31" i="18"/>
  <c r="A32" i="18"/>
  <c r="A33" i="18"/>
  <c r="A34" i="18"/>
  <c r="A35" i="18"/>
  <c r="A36" i="18"/>
  <c r="A37" i="18"/>
  <c r="D102" i="18"/>
  <c r="D103" i="18"/>
  <c r="D104" i="18"/>
  <c r="D105" i="18"/>
  <c r="D46" i="18"/>
  <c r="D47" i="18"/>
  <c r="D48" i="18"/>
  <c r="D49" i="18"/>
  <c r="D50" i="18"/>
  <c r="D51" i="18"/>
  <c r="D52" i="18"/>
  <c r="D53" i="18"/>
  <c r="D54" i="18"/>
  <c r="D59" i="18"/>
  <c r="D60" i="18"/>
  <c r="D63" i="18"/>
  <c r="E102" i="18"/>
  <c r="E103" i="18"/>
  <c r="E104" i="18"/>
  <c r="E105" i="18"/>
  <c r="E46" i="18"/>
  <c r="E47" i="18"/>
  <c r="E48" i="18"/>
  <c r="E49" i="18"/>
  <c r="E50" i="18"/>
  <c r="E51" i="18"/>
  <c r="E52" i="18"/>
  <c r="E53" i="18"/>
  <c r="E54" i="18"/>
  <c r="E59" i="18"/>
  <c r="E60" i="18"/>
  <c r="E63" i="18"/>
  <c r="F102" i="18"/>
  <c r="F103" i="18"/>
  <c r="F104" i="18"/>
  <c r="F105" i="18"/>
  <c r="F46" i="18"/>
  <c r="F47" i="18"/>
  <c r="F48" i="18"/>
  <c r="F49" i="18"/>
  <c r="F50" i="18"/>
  <c r="F51" i="18"/>
  <c r="F52" i="18"/>
  <c r="F53" i="18"/>
  <c r="F54" i="18"/>
  <c r="F59" i="18"/>
  <c r="F60" i="18"/>
  <c r="F63" i="18"/>
  <c r="G102" i="18"/>
  <c r="G103" i="18"/>
  <c r="G104" i="18"/>
  <c r="G105" i="18"/>
  <c r="G46" i="18"/>
  <c r="G47" i="18"/>
  <c r="G48" i="18"/>
  <c r="G49" i="18"/>
  <c r="G50" i="18"/>
  <c r="G51" i="18"/>
  <c r="G52" i="18"/>
  <c r="G53" i="18"/>
  <c r="G54" i="18"/>
  <c r="G59" i="18"/>
  <c r="G60" i="18"/>
  <c r="G63" i="18"/>
  <c r="H102" i="18"/>
  <c r="H103" i="18"/>
  <c r="H104" i="18"/>
  <c r="H105" i="18"/>
  <c r="H46" i="18"/>
  <c r="H47" i="18"/>
  <c r="H48" i="18"/>
  <c r="H49" i="18"/>
  <c r="H50" i="18"/>
  <c r="H51" i="18"/>
  <c r="H52" i="18"/>
  <c r="H53" i="18"/>
  <c r="H54" i="18"/>
  <c r="H59" i="18"/>
  <c r="H60" i="18"/>
  <c r="H63" i="18"/>
  <c r="A38" i="18"/>
  <c r="A39" i="18"/>
  <c r="A40" i="18"/>
  <c r="A41" i="18"/>
  <c r="A42" i="18"/>
  <c r="A43" i="18"/>
  <c r="C43" i="18"/>
  <c r="D43" i="18"/>
  <c r="E43" i="18"/>
  <c r="F43" i="18"/>
  <c r="G43" i="18"/>
  <c r="H43" i="18"/>
  <c r="I43" i="18"/>
  <c r="J43" i="18"/>
  <c r="K43" i="18"/>
  <c r="L43" i="18"/>
  <c r="M43" i="18"/>
  <c r="N43" i="18"/>
  <c r="O43" i="18"/>
  <c r="A44" i="18"/>
  <c r="P44" i="18"/>
  <c r="A45" i="18"/>
  <c r="P45" i="18"/>
  <c r="A46" i="18"/>
  <c r="I102" i="18"/>
  <c r="I103" i="18"/>
  <c r="I104" i="18"/>
  <c r="I105" i="18"/>
  <c r="I46" i="18"/>
  <c r="J102" i="18"/>
  <c r="J103" i="18"/>
  <c r="J104" i="18"/>
  <c r="J105" i="18"/>
  <c r="J46" i="18"/>
  <c r="K102" i="18"/>
  <c r="K103" i="18"/>
  <c r="K104" i="18"/>
  <c r="K105" i="18"/>
  <c r="K46" i="18"/>
  <c r="P46" i="18"/>
  <c r="A47" i="18"/>
  <c r="I47" i="18"/>
  <c r="J47" i="18"/>
  <c r="K47" i="18"/>
  <c r="P47" i="18"/>
  <c r="A48" i="18"/>
  <c r="I48" i="18"/>
  <c r="J48" i="18"/>
  <c r="K48" i="18"/>
  <c r="P48" i="18"/>
  <c r="A49" i="18"/>
  <c r="I49" i="18"/>
  <c r="J49" i="18"/>
  <c r="K49" i="18"/>
  <c r="P49" i="18"/>
  <c r="A50" i="18"/>
  <c r="I50" i="18"/>
  <c r="J50" i="18"/>
  <c r="K50" i="18"/>
  <c r="P50" i="18"/>
  <c r="A51" i="18"/>
  <c r="I51" i="18"/>
  <c r="J51" i="18"/>
  <c r="K51" i="18"/>
  <c r="P51" i="18"/>
  <c r="A52" i="18"/>
  <c r="I52" i="18"/>
  <c r="J52" i="18"/>
  <c r="K52" i="18"/>
  <c r="P52" i="18"/>
  <c r="A53" i="18"/>
  <c r="I53" i="18"/>
  <c r="J53" i="18"/>
  <c r="K53" i="18"/>
  <c r="P53" i="18"/>
  <c r="A54" i="18"/>
  <c r="I54" i="18"/>
  <c r="J54" i="18"/>
  <c r="K54" i="18"/>
  <c r="P54" i="18"/>
  <c r="A55" i="18"/>
  <c r="P55" i="18"/>
  <c r="A56" i="18"/>
  <c r="P56" i="18"/>
  <c r="A57" i="18"/>
  <c r="P57" i="18"/>
  <c r="A58" i="18"/>
  <c r="P58" i="18"/>
  <c r="A59" i="18"/>
  <c r="I59" i="18"/>
  <c r="J59" i="18"/>
  <c r="K59" i="18"/>
  <c r="L59" i="18"/>
  <c r="M59" i="18"/>
  <c r="N59" i="18"/>
  <c r="O59" i="18"/>
  <c r="P59" i="18"/>
  <c r="A60" i="18"/>
  <c r="I60" i="18"/>
  <c r="J60" i="18"/>
  <c r="K60" i="18"/>
  <c r="L60" i="18"/>
  <c r="M60" i="18"/>
  <c r="N60" i="18"/>
  <c r="O60" i="18"/>
  <c r="P60" i="18"/>
  <c r="A61" i="18"/>
  <c r="P61" i="18"/>
  <c r="A62" i="18"/>
  <c r="P62" i="18"/>
  <c r="A63" i="18"/>
  <c r="I63" i="18"/>
  <c r="J63" i="18"/>
  <c r="K63" i="18"/>
  <c r="L63" i="18"/>
  <c r="P63" i="18"/>
  <c r="A64" i="18"/>
  <c r="D64" i="18"/>
  <c r="E64" i="18"/>
  <c r="F64" i="18"/>
  <c r="G64" i="18"/>
  <c r="H64" i="18"/>
  <c r="I64" i="18"/>
  <c r="J64" i="18"/>
  <c r="K64" i="18"/>
  <c r="L64" i="18"/>
  <c r="M64" i="18"/>
  <c r="N64" i="18"/>
  <c r="O64" i="18"/>
  <c r="P64" i="18"/>
  <c r="A65" i="18"/>
  <c r="D65" i="18"/>
  <c r="E65" i="18"/>
  <c r="F65" i="18"/>
  <c r="G65" i="18"/>
  <c r="H65" i="18"/>
  <c r="P65" i="18"/>
  <c r="A66" i="18"/>
  <c r="D66" i="18"/>
  <c r="E66" i="18"/>
  <c r="F66" i="18"/>
  <c r="G66" i="18"/>
  <c r="H66" i="18"/>
  <c r="P66" i="18"/>
  <c r="A67" i="18"/>
  <c r="D67" i="18"/>
  <c r="E67" i="18"/>
  <c r="F67" i="18"/>
  <c r="G67" i="18"/>
  <c r="H67" i="18"/>
  <c r="I67" i="18"/>
  <c r="J67" i="18"/>
  <c r="K67" i="18"/>
  <c r="P67" i="18"/>
  <c r="A68" i="18"/>
  <c r="D68" i="18"/>
  <c r="E68" i="18"/>
  <c r="F68" i="18"/>
  <c r="G68" i="18"/>
  <c r="H68" i="18"/>
  <c r="I68" i="18"/>
  <c r="J68" i="18"/>
  <c r="K68" i="18"/>
  <c r="P68" i="18"/>
  <c r="A69" i="18"/>
  <c r="D69" i="18"/>
  <c r="E69" i="18"/>
  <c r="F69" i="18"/>
  <c r="G69" i="18"/>
  <c r="H69" i="18"/>
  <c r="I69" i="18"/>
  <c r="J69" i="18"/>
  <c r="K69" i="18"/>
  <c r="P69" i="18"/>
  <c r="A70" i="18"/>
  <c r="D70" i="18"/>
  <c r="E70" i="18"/>
  <c r="F70" i="18"/>
  <c r="G70" i="18"/>
  <c r="H70" i="18"/>
  <c r="I70" i="18"/>
  <c r="J70" i="18"/>
  <c r="K70" i="18"/>
  <c r="P70" i="18"/>
  <c r="A71" i="18"/>
  <c r="D71" i="18"/>
  <c r="E71" i="18"/>
  <c r="F71" i="18"/>
  <c r="G71" i="18"/>
  <c r="H71" i="18"/>
  <c r="I71" i="18"/>
  <c r="J71" i="18"/>
  <c r="K71" i="18"/>
  <c r="P71" i="18"/>
  <c r="A72" i="18"/>
  <c r="D72" i="18"/>
  <c r="E72" i="18"/>
  <c r="F72" i="18"/>
  <c r="G72" i="18"/>
  <c r="H72" i="18"/>
  <c r="I72" i="18"/>
  <c r="J72" i="18"/>
  <c r="K72" i="18"/>
  <c r="P72" i="18"/>
  <c r="A73" i="18"/>
  <c r="D73" i="18"/>
  <c r="E73" i="18"/>
  <c r="F73" i="18"/>
  <c r="G73" i="18"/>
  <c r="H73" i="18"/>
  <c r="I73" i="18"/>
  <c r="J73" i="18"/>
  <c r="K73" i="18"/>
  <c r="P73" i="18"/>
  <c r="A74" i="18"/>
  <c r="D74" i="18"/>
  <c r="E74" i="18"/>
  <c r="F74" i="18"/>
  <c r="G74" i="18"/>
  <c r="H74" i="18"/>
  <c r="I74" i="18"/>
  <c r="J74" i="18"/>
  <c r="K74" i="18"/>
  <c r="P74" i="18"/>
  <c r="A75" i="18"/>
  <c r="D75" i="18"/>
  <c r="E75" i="18"/>
  <c r="F75" i="18"/>
  <c r="G75" i="18"/>
  <c r="H75" i="18"/>
  <c r="I75" i="18"/>
  <c r="J75" i="18"/>
  <c r="K75" i="18"/>
  <c r="P75" i="18"/>
  <c r="A76" i="18"/>
  <c r="D76" i="18"/>
  <c r="E76" i="18"/>
  <c r="F76" i="18"/>
  <c r="G76" i="18"/>
  <c r="H76" i="18"/>
  <c r="P76" i="18"/>
  <c r="A77" i="18"/>
  <c r="D77" i="18"/>
  <c r="E77" i="18"/>
  <c r="F77" i="18"/>
  <c r="G77" i="18"/>
  <c r="H77" i="18"/>
  <c r="P77" i="18"/>
  <c r="A78" i="18"/>
  <c r="D78" i="18"/>
  <c r="E78" i="18"/>
  <c r="F78" i="18"/>
  <c r="G78" i="18"/>
  <c r="H78" i="18"/>
  <c r="P78" i="18"/>
  <c r="A79" i="18"/>
  <c r="D79" i="18"/>
  <c r="E79" i="18"/>
  <c r="F79" i="18"/>
  <c r="G79" i="18"/>
  <c r="H79" i="18"/>
  <c r="P79" i="18"/>
  <c r="A80" i="18"/>
  <c r="D80" i="18"/>
  <c r="E80" i="18"/>
  <c r="F80" i="18"/>
  <c r="G80" i="18"/>
  <c r="H80" i="18"/>
  <c r="P80" i="18"/>
  <c r="A81" i="18"/>
  <c r="D81" i="18"/>
  <c r="E81" i="18"/>
  <c r="F81" i="18"/>
  <c r="G81" i="18"/>
  <c r="H81" i="18"/>
  <c r="P81" i="18"/>
  <c r="A82" i="18"/>
  <c r="D94" i="18"/>
  <c r="D82" i="18"/>
  <c r="E94" i="18"/>
  <c r="E82" i="18"/>
  <c r="F94" i="18"/>
  <c r="F82" i="18"/>
  <c r="G94" i="18"/>
  <c r="G82" i="18"/>
  <c r="H94" i="18"/>
  <c r="H82" i="18"/>
  <c r="I94" i="18"/>
  <c r="I82" i="18"/>
  <c r="J94" i="18"/>
  <c r="J82" i="18"/>
  <c r="K94" i="18"/>
  <c r="K82" i="18"/>
  <c r="L94" i="18"/>
  <c r="L82" i="18"/>
  <c r="M94" i="18"/>
  <c r="M82" i="18"/>
  <c r="N94" i="18"/>
  <c r="N82" i="18"/>
  <c r="O94" i="18"/>
  <c r="O82" i="18"/>
  <c r="P82" i="18"/>
  <c r="A83" i="18"/>
  <c r="D83" i="18"/>
  <c r="E83" i="18"/>
  <c r="F83" i="18"/>
  <c r="G83" i="18"/>
  <c r="H83" i="18"/>
  <c r="I83" i="18"/>
  <c r="J83" i="18"/>
  <c r="K83" i="18"/>
  <c r="L83" i="18"/>
  <c r="M83" i="18"/>
  <c r="N83" i="18"/>
  <c r="O83" i="18"/>
  <c r="P83" i="18"/>
  <c r="A84" i="18"/>
  <c r="D84" i="18"/>
  <c r="E84" i="18"/>
  <c r="F84" i="18"/>
  <c r="G84" i="18"/>
  <c r="H84" i="18"/>
  <c r="I84" i="18"/>
  <c r="J84" i="18"/>
  <c r="K84" i="18"/>
  <c r="L84" i="18"/>
  <c r="M84" i="18"/>
  <c r="N84" i="18"/>
  <c r="O84" i="18"/>
  <c r="P84" i="18"/>
  <c r="A85" i="18"/>
  <c r="D85" i="18"/>
  <c r="E85" i="18"/>
  <c r="F85" i="18"/>
  <c r="G85" i="18"/>
  <c r="H85" i="18"/>
  <c r="I85" i="18"/>
  <c r="J85" i="18"/>
  <c r="K85" i="18"/>
  <c r="L85" i="18"/>
  <c r="M85" i="18"/>
  <c r="N85" i="18"/>
  <c r="O85" i="18"/>
  <c r="P85" i="18"/>
  <c r="A86" i="18"/>
  <c r="D86" i="18"/>
  <c r="E86" i="18"/>
  <c r="F86" i="18"/>
  <c r="G86" i="18"/>
  <c r="H86" i="18"/>
  <c r="I86" i="18"/>
  <c r="J86" i="18"/>
  <c r="K86" i="18"/>
  <c r="L86" i="18"/>
  <c r="M86" i="18"/>
  <c r="N86" i="18"/>
  <c r="O86" i="18"/>
  <c r="A87" i="18"/>
  <c r="D87" i="18"/>
  <c r="E87" i="18"/>
  <c r="F87" i="18"/>
  <c r="G87" i="18"/>
  <c r="H87" i="18"/>
  <c r="I87" i="18"/>
  <c r="J87" i="18"/>
  <c r="K87" i="18"/>
  <c r="L87" i="18"/>
  <c r="M87" i="18"/>
  <c r="N87" i="18"/>
  <c r="O87" i="18"/>
  <c r="P87" i="18"/>
  <c r="A88" i="18"/>
  <c r="A89" i="18"/>
  <c r="A90" i="18"/>
  <c r="D90" i="18"/>
  <c r="E90" i="18"/>
  <c r="F90" i="18"/>
  <c r="G90" i="18"/>
  <c r="H90" i="18"/>
  <c r="I90" i="18"/>
  <c r="J90" i="18"/>
  <c r="K90" i="18"/>
  <c r="L90" i="18"/>
  <c r="M90" i="18"/>
  <c r="N90" i="18"/>
  <c r="O90" i="18"/>
  <c r="P90" i="18"/>
  <c r="A91" i="18"/>
  <c r="D91" i="18"/>
  <c r="E91" i="18"/>
  <c r="F91" i="18"/>
  <c r="G91" i="18"/>
  <c r="H91" i="18"/>
  <c r="I91" i="18"/>
  <c r="J91" i="18"/>
  <c r="K91" i="18"/>
  <c r="L91" i="18"/>
  <c r="M91" i="18"/>
  <c r="N91" i="18"/>
  <c r="O91" i="18"/>
  <c r="P91" i="18"/>
  <c r="A92" i="18"/>
  <c r="D92" i="18"/>
  <c r="E92" i="18"/>
  <c r="F92" i="18"/>
  <c r="G92" i="18"/>
  <c r="H92" i="18"/>
  <c r="I92" i="18"/>
  <c r="J92" i="18"/>
  <c r="K92" i="18"/>
  <c r="L92" i="18"/>
  <c r="M92" i="18"/>
  <c r="N92" i="18"/>
  <c r="O92" i="18"/>
  <c r="P92" i="18"/>
  <c r="A93" i="18"/>
  <c r="D93" i="18"/>
  <c r="E93" i="18"/>
  <c r="F93" i="18"/>
  <c r="G93" i="18"/>
  <c r="H93" i="18"/>
  <c r="I93" i="18"/>
  <c r="J93" i="18"/>
  <c r="K93" i="18"/>
  <c r="L93" i="18"/>
  <c r="M93" i="18"/>
  <c r="N93" i="18"/>
  <c r="O93" i="18"/>
  <c r="P93" i="18"/>
  <c r="A94" i="18"/>
  <c r="P94" i="18"/>
  <c r="A95" i="18"/>
  <c r="P95" i="18"/>
  <c r="A96" i="18"/>
  <c r="D96" i="18"/>
  <c r="E96" i="18"/>
  <c r="F96" i="18"/>
  <c r="G96" i="18"/>
  <c r="H96" i="18"/>
  <c r="I96" i="18"/>
  <c r="J96" i="18"/>
  <c r="K96" i="18"/>
  <c r="L96" i="18"/>
  <c r="M96" i="18"/>
  <c r="N96" i="18"/>
  <c r="O96" i="18"/>
  <c r="P96" i="18"/>
  <c r="A97" i="18"/>
  <c r="D97" i="18"/>
  <c r="E97" i="18"/>
  <c r="F97" i="18"/>
  <c r="G97" i="18"/>
  <c r="H97" i="18"/>
  <c r="I97" i="18"/>
  <c r="J97" i="18"/>
  <c r="K97" i="18"/>
  <c r="L97" i="18"/>
  <c r="M97" i="18"/>
  <c r="N97" i="18"/>
  <c r="O97" i="18"/>
  <c r="P97" i="18"/>
  <c r="A98" i="18"/>
  <c r="C98" i="18"/>
  <c r="D98" i="18"/>
  <c r="E98" i="18"/>
  <c r="F98" i="18"/>
  <c r="G98" i="18"/>
  <c r="H98" i="18"/>
  <c r="P98" i="18"/>
  <c r="A99" i="18"/>
  <c r="A100" i="18"/>
  <c r="D100" i="18"/>
  <c r="E100" i="18"/>
  <c r="F100" i="18"/>
  <c r="G100" i="18"/>
  <c r="H100" i="18"/>
  <c r="I100" i="18"/>
  <c r="J100" i="18"/>
  <c r="K100" i="18"/>
  <c r="L100" i="18"/>
  <c r="M100" i="18"/>
  <c r="N100" i="18"/>
  <c r="O100" i="18"/>
  <c r="A101" i="18"/>
  <c r="D101" i="18"/>
  <c r="E101" i="18"/>
  <c r="F101" i="18"/>
  <c r="G101" i="18"/>
  <c r="H101" i="18"/>
  <c r="I101" i="18"/>
  <c r="J101" i="18"/>
  <c r="K101" i="18"/>
  <c r="L101" i="18"/>
  <c r="M101" i="18"/>
  <c r="N101" i="18"/>
  <c r="O101" i="18"/>
  <c r="A102" i="18"/>
  <c r="A103" i="18"/>
  <c r="A104" i="18"/>
  <c r="A105" i="18"/>
  <c r="E1" i="173"/>
  <c r="F1" i="173"/>
  <c r="G1" i="173"/>
  <c r="H1" i="173"/>
  <c r="I1" i="173"/>
  <c r="J1" i="173"/>
  <c r="K1" i="173"/>
  <c r="L1" i="173"/>
  <c r="M1" i="173"/>
  <c r="N1" i="173"/>
  <c r="O1" i="173"/>
  <c r="A2" i="173"/>
  <c r="A3" i="173"/>
  <c r="A4" i="173"/>
  <c r="A5" i="173"/>
  <c r="A6" i="173"/>
  <c r="E6" i="173"/>
  <c r="F6" i="173"/>
  <c r="G6" i="173"/>
  <c r="H6" i="173"/>
  <c r="I6" i="173"/>
  <c r="J6" i="173"/>
  <c r="K6" i="173"/>
  <c r="L6" i="173"/>
  <c r="M6" i="173"/>
  <c r="N6" i="173"/>
  <c r="O6" i="173"/>
  <c r="A7" i="173"/>
  <c r="A8" i="173"/>
  <c r="E8" i="173"/>
  <c r="F8" i="173"/>
  <c r="G8" i="173"/>
  <c r="H8" i="173"/>
  <c r="I8" i="173"/>
  <c r="J8" i="173"/>
  <c r="K8" i="173"/>
  <c r="L8" i="173"/>
  <c r="M8" i="173"/>
  <c r="N8" i="173"/>
  <c r="O8" i="173"/>
  <c r="A9" i="173"/>
  <c r="A10" i="173"/>
  <c r="E10" i="173"/>
  <c r="F10" i="173"/>
  <c r="G10" i="173"/>
  <c r="H10" i="173"/>
  <c r="I10" i="173"/>
  <c r="J10" i="173"/>
  <c r="K10" i="173"/>
  <c r="M10" i="173"/>
  <c r="N10" i="173"/>
  <c r="O10" i="173"/>
  <c r="A11" i="173"/>
  <c r="E11" i="173"/>
  <c r="F11" i="173"/>
  <c r="G11" i="173"/>
  <c r="H11" i="173"/>
  <c r="I11" i="173"/>
  <c r="J11" i="173"/>
  <c r="K11" i="173"/>
  <c r="M11" i="173"/>
  <c r="N11" i="173"/>
  <c r="O11" i="173"/>
  <c r="A12" i="173"/>
  <c r="E13" i="173"/>
  <c r="F13" i="173"/>
  <c r="G13" i="173"/>
  <c r="H13" i="173"/>
  <c r="I13" i="173"/>
  <c r="J13" i="173"/>
  <c r="K13" i="173"/>
  <c r="L13" i="173"/>
  <c r="M13" i="173"/>
  <c r="N13" i="173"/>
  <c r="O13" i="173"/>
  <c r="E16" i="173"/>
  <c r="F16" i="173"/>
  <c r="G16" i="173"/>
  <c r="H16" i="173"/>
  <c r="I16" i="173"/>
  <c r="J16" i="173"/>
  <c r="K16" i="173"/>
  <c r="L16" i="173"/>
  <c r="N17" i="173"/>
  <c r="O17" i="173"/>
  <c r="E19" i="173"/>
  <c r="F19" i="173"/>
  <c r="G19" i="173"/>
  <c r="H19" i="173"/>
  <c r="I19" i="173"/>
  <c r="J19" i="173"/>
  <c r="K19" i="173"/>
  <c r="L19" i="173"/>
  <c r="M19" i="173"/>
  <c r="N19" i="173"/>
  <c r="O19" i="173"/>
  <c r="E20" i="173"/>
  <c r="F20" i="173"/>
  <c r="G20" i="173"/>
  <c r="H20" i="173"/>
  <c r="I20" i="173"/>
  <c r="J20" i="173"/>
  <c r="K20" i="173"/>
  <c r="L20" i="173"/>
  <c r="M20" i="173"/>
  <c r="N20" i="173"/>
  <c r="O20" i="173"/>
  <c r="E41" i="173"/>
  <c r="F41" i="173"/>
  <c r="G41" i="173"/>
  <c r="H41" i="173"/>
  <c r="C33" i="173"/>
  <c r="D33" i="173"/>
  <c r="E33" i="173"/>
  <c r="F33" i="173"/>
  <c r="G33" i="173"/>
  <c r="H33" i="173"/>
  <c r="I33" i="173"/>
  <c r="J33" i="173"/>
  <c r="K33" i="173"/>
  <c r="L33" i="173"/>
  <c r="M33" i="173"/>
  <c r="N33" i="173"/>
  <c r="O33" i="173"/>
  <c r="P34" i="173"/>
  <c r="P35" i="173"/>
  <c r="P36" i="173"/>
  <c r="P37" i="173"/>
  <c r="P38" i="173"/>
  <c r="P39" i="173"/>
  <c r="P40" i="173"/>
  <c r="I41" i="173"/>
  <c r="J41" i="173"/>
  <c r="K41" i="173"/>
  <c r="L41" i="173"/>
  <c r="P41" i="173"/>
  <c r="D42" i="173"/>
  <c r="E42" i="173"/>
  <c r="F42" i="173"/>
  <c r="G42" i="173"/>
  <c r="H42" i="173"/>
  <c r="I42" i="173"/>
  <c r="J42" i="173"/>
  <c r="K42" i="173"/>
  <c r="L42" i="173"/>
  <c r="M42" i="173"/>
  <c r="N42" i="173"/>
  <c r="O42" i="173"/>
  <c r="P42" i="173"/>
  <c r="E43" i="173"/>
  <c r="F43" i="173"/>
  <c r="G43" i="173"/>
  <c r="H43" i="173"/>
  <c r="I43" i="173"/>
  <c r="J43" i="173"/>
  <c r="K43" i="173"/>
  <c r="M43" i="173"/>
  <c r="N43" i="173"/>
  <c r="O43" i="173"/>
  <c r="P43" i="173"/>
  <c r="P44" i="173"/>
  <c r="P45" i="173"/>
  <c r="P46" i="173"/>
  <c r="P47" i="173"/>
  <c r="P48" i="173"/>
  <c r="P49" i="173"/>
  <c r="P50" i="173"/>
  <c r="P51" i="173"/>
  <c r="E64" i="173"/>
  <c r="E52" i="173"/>
  <c r="F64" i="173"/>
  <c r="F52" i="173"/>
  <c r="G64" i="173"/>
  <c r="G52" i="173"/>
  <c r="H64" i="173"/>
  <c r="H52" i="173"/>
  <c r="I64" i="173"/>
  <c r="I52" i="173"/>
  <c r="J64" i="173"/>
  <c r="J52" i="173"/>
  <c r="K64" i="173"/>
  <c r="K52" i="173"/>
  <c r="M64" i="173"/>
  <c r="M52" i="173"/>
  <c r="N64" i="173"/>
  <c r="N52" i="173"/>
  <c r="O64" i="173"/>
  <c r="O52" i="173"/>
  <c r="P52" i="173"/>
  <c r="E53" i="173"/>
  <c r="F53" i="173"/>
  <c r="G53" i="173"/>
  <c r="H53" i="173"/>
  <c r="I53" i="173"/>
  <c r="J53" i="173"/>
  <c r="K53" i="173"/>
  <c r="M53" i="173"/>
  <c r="N53" i="173"/>
  <c r="O53" i="173"/>
  <c r="P53" i="173"/>
  <c r="E54" i="173"/>
  <c r="F54" i="173"/>
  <c r="G54" i="173"/>
  <c r="H54" i="173"/>
  <c r="I54" i="173"/>
  <c r="J54" i="173"/>
  <c r="K54" i="173"/>
  <c r="M54" i="173"/>
  <c r="N54" i="173"/>
  <c r="O54" i="173"/>
  <c r="P54" i="173"/>
  <c r="E55" i="173"/>
  <c r="F55" i="173"/>
  <c r="G55" i="173"/>
  <c r="H55" i="173"/>
  <c r="I55" i="173"/>
  <c r="J55" i="173"/>
  <c r="K55" i="173"/>
  <c r="M55" i="173"/>
  <c r="N55" i="173"/>
  <c r="O55" i="173"/>
  <c r="P55" i="173"/>
  <c r="E56" i="173"/>
  <c r="F56" i="173"/>
  <c r="G56" i="173"/>
  <c r="H56" i="173"/>
  <c r="I56" i="173"/>
  <c r="J56" i="173"/>
  <c r="K56" i="173"/>
  <c r="M56" i="173"/>
  <c r="N56" i="173"/>
  <c r="O56" i="173"/>
  <c r="E57" i="173"/>
  <c r="F57" i="173"/>
  <c r="G57" i="173"/>
  <c r="H57" i="173"/>
  <c r="I57" i="173"/>
  <c r="J57" i="173"/>
  <c r="K57" i="173"/>
  <c r="M57" i="173"/>
  <c r="N57" i="173"/>
  <c r="O57" i="173"/>
  <c r="P57" i="173"/>
  <c r="I59" i="173"/>
  <c r="J59" i="173"/>
  <c r="K59" i="173"/>
  <c r="L59" i="173"/>
  <c r="M59" i="173"/>
  <c r="N59" i="173"/>
  <c r="O59" i="173"/>
  <c r="P59" i="173"/>
  <c r="E60" i="173"/>
  <c r="F60" i="173"/>
  <c r="G60" i="173"/>
  <c r="H60" i="173"/>
  <c r="I60" i="173"/>
  <c r="J60" i="173"/>
  <c r="K60" i="173"/>
  <c r="M60" i="173"/>
  <c r="N60" i="173"/>
  <c r="O60" i="173"/>
  <c r="P60" i="173"/>
  <c r="E61" i="173"/>
  <c r="F61" i="173"/>
  <c r="G61" i="173"/>
  <c r="H61" i="173"/>
  <c r="I61" i="173"/>
  <c r="J61" i="173"/>
  <c r="K61" i="173"/>
  <c r="M61" i="173"/>
  <c r="N61" i="173"/>
  <c r="O61" i="173"/>
  <c r="P61" i="173"/>
  <c r="E62" i="173"/>
  <c r="F62" i="173"/>
  <c r="G62" i="173"/>
  <c r="H62" i="173"/>
  <c r="I62" i="173"/>
  <c r="J62" i="173"/>
  <c r="K62" i="173"/>
  <c r="L62" i="173"/>
  <c r="M62" i="173"/>
  <c r="N62" i="173"/>
  <c r="O62" i="173"/>
  <c r="P62" i="173"/>
  <c r="E63" i="173"/>
  <c r="F63" i="173"/>
  <c r="G63" i="173"/>
  <c r="H63" i="173"/>
  <c r="I63" i="173"/>
  <c r="J63" i="173"/>
  <c r="K63" i="173"/>
  <c r="M63" i="173"/>
  <c r="N63" i="173"/>
  <c r="O63" i="173"/>
  <c r="P63" i="173"/>
  <c r="P64" i="173"/>
  <c r="P65" i="173"/>
  <c r="E66" i="173"/>
  <c r="F66" i="173"/>
  <c r="G66" i="173"/>
  <c r="H66" i="173"/>
  <c r="I66" i="173"/>
  <c r="J66" i="173"/>
  <c r="K66" i="173"/>
  <c r="M66" i="173"/>
  <c r="N66" i="173"/>
  <c r="O66" i="173"/>
  <c r="P66" i="173"/>
  <c r="E67" i="173"/>
  <c r="F67" i="173"/>
  <c r="G67" i="173"/>
  <c r="H67" i="173"/>
  <c r="I67" i="173"/>
  <c r="J67" i="173"/>
  <c r="K67" i="173"/>
  <c r="M67" i="173"/>
  <c r="N67" i="173"/>
  <c r="O67" i="173"/>
  <c r="P67" i="173"/>
  <c r="P68" i="173"/>
  <c r="P69" i="173"/>
  <c r="D70" i="173"/>
  <c r="E70" i="173"/>
  <c r="F70" i="173"/>
  <c r="G70" i="173"/>
  <c r="H70" i="173"/>
  <c r="I70" i="173"/>
  <c r="J70" i="173"/>
  <c r="K70" i="173"/>
  <c r="L70" i="173"/>
  <c r="M70" i="173"/>
  <c r="N70" i="173"/>
  <c r="O70" i="173"/>
  <c r="D71" i="173"/>
  <c r="E71" i="173"/>
  <c r="F71" i="173"/>
  <c r="G71" i="173"/>
  <c r="H71" i="173"/>
  <c r="I71" i="173"/>
  <c r="J71" i="173"/>
  <c r="K71" i="173"/>
  <c r="L71" i="173"/>
  <c r="M71" i="173"/>
  <c r="N71" i="173"/>
  <c r="O71" i="173"/>
  <c r="A2" i="17"/>
  <c r="A3" i="17"/>
  <c r="A4" i="17"/>
  <c r="A5" i="17"/>
  <c r="D5" i="17"/>
  <c r="E5" i="17"/>
  <c r="F5" i="17"/>
  <c r="G5" i="17"/>
  <c r="H5" i="17"/>
  <c r="I5" i="17"/>
  <c r="J5" i="17"/>
  <c r="K5" i="17"/>
  <c r="L5" i="17"/>
  <c r="A6" i="17"/>
  <c r="A7" i="17"/>
  <c r="C7" i="17"/>
  <c r="A8" i="17"/>
  <c r="A9" i="17"/>
  <c r="C9" i="17"/>
  <c r="D9" i="17"/>
  <c r="E9" i="17"/>
  <c r="F9" i="17"/>
  <c r="G9" i="17"/>
  <c r="H9" i="17"/>
  <c r="I9" i="17"/>
  <c r="J9" i="17"/>
  <c r="K9" i="17"/>
  <c r="L9" i="17"/>
  <c r="A10" i="17"/>
  <c r="A11" i="17"/>
  <c r="A12" i="17"/>
  <c r="A13" i="17"/>
  <c r="A14" i="17"/>
  <c r="A15" i="17"/>
  <c r="C15" i="17"/>
  <c r="D15" i="17"/>
  <c r="E15" i="17"/>
  <c r="F15" i="17"/>
  <c r="G15" i="17"/>
  <c r="H15" i="17"/>
  <c r="I15" i="17"/>
  <c r="J15" i="17"/>
  <c r="K15" i="17"/>
  <c r="L15" i="17"/>
  <c r="A16" i="17"/>
  <c r="A17" i="17"/>
  <c r="A18" i="17"/>
  <c r="C18" i="17"/>
  <c r="D18" i="17"/>
  <c r="E18" i="17"/>
  <c r="F18" i="17"/>
  <c r="G18" i="17"/>
  <c r="H18" i="17"/>
  <c r="I18" i="17"/>
  <c r="J18" i="17"/>
  <c r="K18" i="17"/>
  <c r="L18" i="17"/>
  <c r="A19" i="17"/>
  <c r="C19" i="17"/>
  <c r="D19" i="17"/>
  <c r="E19" i="17"/>
  <c r="F19" i="17"/>
  <c r="G19" i="17"/>
  <c r="H19" i="17"/>
  <c r="I19" i="17"/>
  <c r="J19" i="17"/>
  <c r="K19" i="17"/>
  <c r="L19" i="17"/>
  <c r="A20" i="17"/>
  <c r="A21" i="17"/>
  <c r="C21" i="17"/>
  <c r="D21" i="17"/>
  <c r="E21" i="17"/>
  <c r="F21" i="17"/>
  <c r="G21" i="17"/>
  <c r="H21" i="17"/>
  <c r="I21" i="17"/>
  <c r="J21" i="17"/>
  <c r="K21" i="17"/>
  <c r="L21" i="17"/>
  <c r="A22" i="17"/>
  <c r="C22" i="17"/>
  <c r="D22" i="17"/>
  <c r="E22" i="17"/>
  <c r="F22" i="17"/>
  <c r="G22" i="17"/>
  <c r="H22" i="17"/>
  <c r="I22" i="17"/>
  <c r="J22" i="17"/>
  <c r="K22" i="17"/>
  <c r="L22" i="17"/>
  <c r="A23" i="17"/>
  <c r="C23" i="17"/>
  <c r="D23" i="17"/>
  <c r="E23" i="17"/>
  <c r="F23" i="17"/>
  <c r="G23" i="17"/>
  <c r="H23" i="17"/>
  <c r="I23" i="17"/>
  <c r="J23" i="17"/>
  <c r="K23" i="17"/>
  <c r="L23" i="17"/>
  <c r="A24" i="17"/>
  <c r="C24" i="17"/>
  <c r="D24" i="17"/>
  <c r="E24" i="17"/>
  <c r="F24" i="17"/>
  <c r="G24" i="17"/>
  <c r="H24" i="17"/>
  <c r="I24" i="17"/>
  <c r="J24" i="17"/>
  <c r="K24" i="17"/>
  <c r="L24" i="17"/>
  <c r="M24" i="17"/>
  <c r="A14" i="173"/>
  <c r="A15" i="173"/>
  <c r="A16" i="173"/>
  <c r="A17" i="173"/>
  <c r="A18" i="173"/>
  <c r="A19" i="173"/>
  <c r="A20" i="173"/>
  <c r="A21" i="173"/>
  <c r="A22" i="173"/>
  <c r="A23" i="173"/>
  <c r="A24" i="173"/>
  <c r="A25" i="173"/>
  <c r="A26" i="173"/>
  <c r="A27" i="173"/>
  <c r="A28" i="173"/>
  <c r="A29" i="173"/>
  <c r="A30" i="173"/>
  <c r="A31" i="173"/>
  <c r="A32" i="173"/>
  <c r="A33" i="173"/>
  <c r="A34" i="173"/>
  <c r="A35" i="173"/>
  <c r="A36" i="173"/>
  <c r="A37" i="173"/>
  <c r="A38" i="173"/>
  <c r="A39" i="173"/>
  <c r="A40" i="173"/>
  <c r="A41" i="173"/>
  <c r="A42" i="173"/>
  <c r="A43" i="173"/>
  <c r="A44" i="173"/>
  <c r="A45" i="173"/>
  <c r="A46" i="173"/>
  <c r="A47" i="173"/>
  <c r="A48" i="173"/>
  <c r="A49" i="173"/>
  <c r="A50" i="173"/>
  <c r="A51" i="173"/>
  <c r="A52" i="173"/>
  <c r="A53" i="173"/>
  <c r="A54" i="173"/>
  <c r="A55" i="173"/>
  <c r="A56" i="173"/>
  <c r="A57" i="173"/>
  <c r="A58" i="173"/>
  <c r="A59" i="173"/>
  <c r="A60" i="173"/>
  <c r="A61" i="173"/>
  <c r="A62" i="173"/>
  <c r="A63" i="173"/>
  <c r="A64" i="173"/>
  <c r="A65" i="173"/>
  <c r="A66" i="173"/>
  <c r="A67" i="173"/>
  <c r="A68" i="173"/>
  <c r="A69" i="173"/>
  <c r="A70" i="173"/>
  <c r="A71" i="173"/>
  <c r="C52" i="499"/>
  <c r="C12" i="499"/>
  <c r="T12" i="499"/>
  <c r="C13" i="499"/>
  <c r="T13" i="499"/>
  <c r="C14" i="499"/>
  <c r="T14" i="499"/>
  <c r="C15" i="499"/>
  <c r="T15" i="499"/>
  <c r="C16" i="499"/>
  <c r="T16" i="499"/>
  <c r="C17" i="499"/>
  <c r="T17" i="499"/>
  <c r="C18" i="499"/>
  <c r="T18" i="499"/>
  <c r="C19" i="499"/>
  <c r="T19" i="499"/>
  <c r="C20" i="499"/>
  <c r="T20" i="499"/>
  <c r="C21" i="499"/>
  <c r="T21" i="499"/>
  <c r="C22" i="499"/>
  <c r="T22" i="499"/>
  <c r="C23" i="499"/>
  <c r="T23" i="499"/>
  <c r="C24" i="499"/>
  <c r="T24" i="499"/>
  <c r="C25" i="499"/>
  <c r="T25" i="499"/>
  <c r="C26" i="499"/>
  <c r="T26" i="499"/>
  <c r="C27" i="499"/>
  <c r="T27" i="499"/>
  <c r="C28" i="499"/>
  <c r="T28" i="499"/>
  <c r="C29" i="499"/>
  <c r="T29" i="499"/>
  <c r="C30" i="499"/>
  <c r="T30" i="499"/>
  <c r="C31" i="499"/>
  <c r="T31" i="499"/>
  <c r="C32" i="499"/>
  <c r="T32" i="499"/>
  <c r="C33" i="499"/>
  <c r="T33" i="499"/>
  <c r="C34" i="499"/>
  <c r="T34" i="499"/>
  <c r="C35" i="499"/>
  <c r="T35" i="499"/>
  <c r="T36" i="499"/>
  <c r="T37" i="499"/>
  <c r="C38" i="499"/>
  <c r="T38" i="499"/>
  <c r="C39" i="499"/>
  <c r="T39" i="499"/>
  <c r="C40" i="499"/>
  <c r="T40" i="499"/>
  <c r="C41" i="499"/>
  <c r="T41" i="499"/>
  <c r="C42" i="499"/>
  <c r="T42" i="499"/>
  <c r="C43" i="499"/>
  <c r="T43" i="499"/>
  <c r="C44" i="499"/>
  <c r="T44" i="499"/>
  <c r="C45" i="499"/>
  <c r="T45" i="499"/>
  <c r="C46" i="499"/>
  <c r="T46" i="499"/>
  <c r="C47" i="499"/>
  <c r="T47" i="499"/>
  <c r="C48" i="499"/>
  <c r="T48" i="499"/>
  <c r="C49" i="499"/>
  <c r="T49" i="499"/>
  <c r="C50" i="499"/>
  <c r="T50" i="499"/>
  <c r="C51" i="499"/>
  <c r="T51" i="499"/>
  <c r="T53" i="499"/>
  <c r="C54" i="499"/>
  <c r="T54" i="499"/>
  <c r="C55" i="499"/>
  <c r="T55" i="499"/>
  <c r="C56" i="499"/>
  <c r="T56" i="499"/>
  <c r="C57" i="499"/>
  <c r="T57" i="499"/>
  <c r="C58" i="499"/>
  <c r="T58" i="499"/>
  <c r="C59" i="499"/>
  <c r="T59" i="499"/>
  <c r="C60" i="499"/>
  <c r="T60" i="499"/>
  <c r="C63" i="499"/>
  <c r="T63" i="499"/>
  <c r="C64" i="499"/>
  <c r="T64" i="499"/>
  <c r="C65" i="499"/>
  <c r="T65" i="499"/>
  <c r="C66" i="499"/>
  <c r="T66" i="499"/>
  <c r="C67" i="499"/>
  <c r="T67" i="499"/>
  <c r="C68" i="499"/>
  <c r="T68" i="499"/>
  <c r="C69" i="499"/>
  <c r="T69" i="499"/>
  <c r="C70" i="499"/>
  <c r="T70" i="499"/>
  <c r="C71" i="499"/>
  <c r="T71" i="499"/>
  <c r="T52" i="499"/>
  <c r="C73" i="499"/>
</calcChain>
</file>

<file path=xl/comments1.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10.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11.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12.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13.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14.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15.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16.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2.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3.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4.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5.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6.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7.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8.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comments9.xml><?xml version="1.0" encoding="utf-8"?>
<comments xmlns="http://schemas.openxmlformats.org/spreadsheetml/2006/main">
  <authors>
    <author>Ole Mikkelsen</author>
  </authors>
  <commentList>
    <comment ref="C1" authorId="0">
      <text>
        <r>
          <rPr>
            <b/>
            <sz val="9"/>
            <color indexed="81"/>
            <rFont val="Geneva"/>
          </rPr>
          <t>Ole Mikkelsen:</t>
        </r>
        <r>
          <rPr>
            <sz val="9"/>
            <color indexed="81"/>
            <rFont val="Geneva"/>
          </rPr>
          <t xml:space="preserve">
Ikke alle løndele er pensionsgivende. Ved skalatrinsløn (lin. 11) er hele beløbet ikke pensionsgivende, idet stedtyillæg fx ikke er det. Det beregnes automatisk.
I de gule felter er sat 'x' ved de løndele, som normalt er pensionsgivende.</t>
        </r>
      </text>
    </comment>
    <comment ref="D1" authorId="0">
      <text>
        <r>
          <rPr>
            <b/>
            <sz val="9"/>
            <color indexed="81"/>
            <rFont val="Geneva"/>
          </rPr>
          <t>Ole Mikkelsen:</t>
        </r>
        <r>
          <rPr>
            <sz val="9"/>
            <color indexed="81"/>
            <rFont val="Geneva"/>
          </rPr>
          <t xml:space="preserve">
Normalt er funktionstillæg ikke afhængige af beskæftigelsesgraden. 
Sæt selv 'x' ved de løndele, som skal være afhængige af BG, og fjen 'x' ved de løndele, der ikke skal være afhængige af BG.</t>
        </r>
      </text>
    </comment>
    <comment ref="E1" authorId="0">
      <text>
        <r>
          <rPr>
            <b/>
            <sz val="9"/>
            <color indexed="81"/>
            <rFont val="Geneva"/>
          </rPr>
          <t>Ole Mikkelsen:</t>
        </r>
        <r>
          <rPr>
            <sz val="9"/>
            <color indexed="81"/>
            <rFont val="Geneva"/>
          </rPr>
          <t xml:space="preserve">
Når der er sat 'x' ved en løndel, reguleres den med procentreguleringen (lin. 8). Det betyder, at beløbet under månederne skal stå i grundbeløb i 31.03.12-niveau. Lønnen stger så automatisk, når procentreguleringen stiger.</t>
        </r>
      </text>
    </comment>
    <comment ref="F20" authorId="0">
      <text>
        <r>
          <rPr>
            <b/>
            <sz val="9"/>
            <color indexed="81"/>
            <rFont val="Geneva"/>
          </rPr>
          <t>Ole Mikkelsen:</t>
        </r>
        <r>
          <rPr>
            <sz val="9"/>
            <color indexed="81"/>
            <rFont val="Geneva"/>
          </rPr>
          <t xml:space="preserve">
Skriv det månedlige beløb. (I grundbeløb, hvis det skal reguleres).</t>
        </r>
      </text>
    </comment>
    <comment ref="F33" authorId="0">
      <text>
        <r>
          <rPr>
            <b/>
            <sz val="9"/>
            <color indexed="81"/>
            <rFont val="Geneva"/>
          </rPr>
          <t>Ole Mikkelsen:</t>
        </r>
        <r>
          <rPr>
            <sz val="9"/>
            <color indexed="81"/>
            <rFont val="Geneva"/>
          </rPr>
          <t xml:space="preserve">
Alle timer mandag til fredag efter kl. 17, bortset fra møder i' den rådgivende forsamling', lejrskoler og i forb. m. prøver, samt weekendtimer. 
Hvis timerne er aftalt afspadseret, skal de IKKE angives her!</t>
        </r>
      </text>
    </comment>
  </commentList>
</comments>
</file>

<file path=xl/sharedStrings.xml><?xml version="1.0" encoding="utf-8"?>
<sst xmlns="http://schemas.openxmlformats.org/spreadsheetml/2006/main" count="5519" uniqueCount="561">
  <si>
    <t>Intervalløn</t>
    <phoneticPr fontId="19" type="noConversion"/>
  </si>
  <si>
    <t>Funktionstillæg inden for intervalgrænse</t>
    <phoneticPr fontId="19" type="noConversion"/>
  </si>
  <si>
    <t>Kvalifikationstillæg inden for intervalgrænse</t>
    <phoneticPr fontId="19" type="noConversion"/>
  </si>
  <si>
    <t>Pensionstillæg Funktionstillæg</t>
    <phoneticPr fontId="19" type="noConversion"/>
  </si>
  <si>
    <t>Pensionstillæg Kvalifikationstillæg</t>
    <phoneticPr fontId="19" type="noConversion"/>
  </si>
  <si>
    <t>Intervaltillæg til skoleder v. 
skoler med kostafdeling</t>
    <phoneticPr fontId="19" type="noConversion"/>
  </si>
  <si>
    <t>Kun til skoleleder</t>
    <phoneticPr fontId="19" type="noConversion"/>
  </si>
  <si>
    <t>Spørg i P25 eller Efterlønskassen</t>
    <phoneticPr fontId="19" type="noConversion"/>
  </si>
  <si>
    <r>
      <t>Hvis 'JA' beregnes for alle pensionsgivende beløb pension i LP for personer med tjenestemandspension</t>
    </r>
    <r>
      <rPr>
        <sz val="8"/>
        <rFont val="Helvetica"/>
      </rPr>
      <t xml:space="preserve"> (18% over slutskalatrinsbeløb)</t>
    </r>
    <phoneticPr fontId="19" type="noConversion"/>
  </si>
  <si>
    <t>Kostafdelingstillæg</t>
    <phoneticPr fontId="19" type="noConversion"/>
  </si>
  <si>
    <t>Pensionstillæg intervalløn</t>
    <phoneticPr fontId="19" type="noConversion"/>
  </si>
  <si>
    <r>
      <t xml:space="preserve">Funktionsstillæg, </t>
    </r>
    <r>
      <rPr>
        <b/>
        <sz val="10"/>
        <rFont val="Helvetica"/>
      </rPr>
      <t>ikke</t>
    </r>
    <r>
      <rPr>
        <sz val="10"/>
        <rFont val="Helvetica"/>
      </rPr>
      <t xml:space="preserve"> afh. af BG,
årligt grundbeløb</t>
    </r>
    <r>
      <rPr>
        <sz val="8"/>
        <rFont val="Helvetica"/>
      </rPr>
      <t xml:space="preserve"> (inden for intervallønsgrænse)</t>
    </r>
    <phoneticPr fontId="19" type="noConversion"/>
  </si>
  <si>
    <r>
      <t>Kval.tillæg, afhængig af BG, årligt grundbeløb 
v. 100% BG</t>
    </r>
    <r>
      <rPr>
        <sz val="8"/>
        <rFont val="Helvetica"/>
      </rPr>
      <t xml:space="preserve"> (inden for intervallønsgrænse)</t>
    </r>
    <phoneticPr fontId="19" type="noConversion"/>
  </si>
  <si>
    <t>Se bemyndigelsesbrev fra UVM 20. juni 2004</t>
    <phoneticPr fontId="19" type="noConversion"/>
  </si>
  <si>
    <r>
      <t>Lønberegning for:</t>
    </r>
    <r>
      <rPr>
        <sz val="9"/>
        <rFont val="Helvetica"/>
      </rPr>
      <t xml:space="preserve"> (navn eller initialer)</t>
    </r>
    <r>
      <rPr>
        <b/>
        <sz val="12"/>
        <rFont val="Helvetica"/>
      </rPr>
      <t xml:space="preserve">
</t>
    </r>
    <r>
      <rPr>
        <sz val="9"/>
        <rFont val="Helvetica"/>
      </rPr>
      <t xml:space="preserve"> - variable løndele i lin. 20-31.</t>
    </r>
    <phoneticPr fontId="19" type="noConversion"/>
  </si>
  <si>
    <t>Pxx=P25, Exx=Efterlønskassen, L= Lærernes Pension 
(xx=skalatrin) fx skalatrin 42 i P25: P42</t>
    <phoneticPr fontId="19" type="noConversion"/>
  </si>
  <si>
    <t>iflg. ansættelsesbrev
(normalt er intervallønnede ansat på 100%)</t>
    <phoneticPr fontId="19" type="noConversion"/>
  </si>
  <si>
    <t>Benyttes for skoleleder, viceleder og afdelingsledere</t>
    <phoneticPr fontId="19" type="noConversion"/>
  </si>
  <si>
    <t>Pxx=P25, Exx=Efterlønskassen, L= Lærernes Pension 
(xx=skalatrin) fx skalatrin 40 i P25: P40</t>
    <phoneticPr fontId="19" type="noConversion"/>
  </si>
  <si>
    <t>Hvis en lærer med tjenestemandspension i Efterlønskassen eller P25 har aftalt supplerende pension i LP af funktions- og kvalifikationstillæg, skal der skrives 'JA' i lin. 19.
Der tages ikke hensyn til, at det er muligt at kun enkelte aftaler kan være dækket af supplerende pension: alt eller intet!</t>
    <phoneticPr fontId="19" type="noConversion"/>
  </si>
  <si>
    <t>Pensionstillæg af udligningstillæg</t>
    <phoneticPr fontId="19" type="noConversion"/>
  </si>
  <si>
    <t>løntabel 01.04.10. Rettes på lærerarket.</t>
  </si>
  <si>
    <t>Skattefri engangsudbetalinger iflg. spec.</t>
    <phoneticPr fontId="19" type="noConversion"/>
  </si>
  <si>
    <t>Skriv ikke procenttegnet, fx 42% - skriv 42</t>
    <phoneticPr fontId="19" type="noConversion"/>
  </si>
  <si>
    <t>lønudgift for skalatrinslønnede</t>
  </si>
  <si>
    <t>R</t>
  </si>
  <si>
    <t>S</t>
  </si>
  <si>
    <t>T</t>
  </si>
  <si>
    <t>U</t>
  </si>
  <si>
    <t>W</t>
  </si>
  <si>
    <t>X</t>
  </si>
  <si>
    <t>Y</t>
  </si>
  <si>
    <t>Z</t>
  </si>
  <si>
    <t>Udfyld gule felter</t>
  </si>
  <si>
    <t>skalatrin</t>
  </si>
  <si>
    <t>pensionsprocent</t>
  </si>
  <si>
    <t>skriv ikke procenttegnet</t>
  </si>
  <si>
    <t>betaler skolen egetbidraget til pensionen</t>
  </si>
  <si>
    <t>JA</t>
  </si>
  <si>
    <t>Leder</t>
    <phoneticPr fontId="19" type="noConversion"/>
  </si>
  <si>
    <t>Slutskalatrin i tjenestemands-
pensionssystemet</t>
    <phoneticPr fontId="19" type="noConversion"/>
  </si>
  <si>
    <t>Engangsstillæg til intervallønnede</t>
    <phoneticPr fontId="19" type="noConversion"/>
  </si>
  <si>
    <t>Beskæftigelsesgrad, aktuel</t>
    <phoneticPr fontId="19" type="noConversion"/>
  </si>
  <si>
    <t>Pensionstillæg af feriedifference</t>
    <phoneticPr fontId="19" type="noConversion"/>
  </si>
  <si>
    <t>Måned</t>
    <phoneticPr fontId="10"/>
  </si>
  <si>
    <r>
      <t xml:space="preserve">Del af måned </t>
    </r>
    <r>
      <rPr>
        <sz val="12"/>
        <rFont val="Helvetica"/>
      </rPr>
      <t xml:space="preserve">
</t>
    </r>
    <r>
      <rPr>
        <sz val="10"/>
        <rFont val="Helvetica"/>
      </rPr>
      <t>antal kalenderdage/månedens kalenderdage</t>
    </r>
    <phoneticPr fontId="19" type="noConversion"/>
  </si>
  <si>
    <t>Arbejdsgiverbidrag til ATP</t>
    <phoneticPr fontId="19" type="noConversion"/>
  </si>
  <si>
    <t>pensionsgivende ikke afhængig af BG</t>
  </si>
  <si>
    <r>
      <t xml:space="preserve">kvalifikationstillæg, pensionsgivende,
</t>
    </r>
    <r>
      <rPr>
        <b/>
        <sz val="10"/>
        <rFont val="Helvetica"/>
      </rPr>
      <t>årligt grundbeløb</t>
    </r>
  </si>
  <si>
    <t>Årlige tillæg (lin 10-14) omregmet til mdl tiillæg</t>
  </si>
  <si>
    <t>månedligt tillæg, ikke pensionsg., ikke regul.</t>
  </si>
  <si>
    <t>ikke pensionsgivende ikke reguleret</t>
  </si>
  <si>
    <t>1/3 af pensionsindbetalingen</t>
  </si>
  <si>
    <t>løn incl. pensionstillæg eller excl egetbidrag</t>
  </si>
  <si>
    <t>samlet indbetaling til Pension</t>
  </si>
  <si>
    <t>A-satser</t>
  </si>
  <si>
    <t>Skolens lønudgifter pr. måned</t>
  </si>
  <si>
    <t>Stedtillægsområde</t>
  </si>
  <si>
    <t>Skalatrin</t>
  </si>
  <si>
    <t>Områdetillæg</t>
  </si>
  <si>
    <t>LIDT OM DECENTRALE TILLÆG (NYLØNSTILLÆG)</t>
  </si>
  <si>
    <t>løn excl. pension</t>
  </si>
  <si>
    <t>12 års anciennitet 1. april 09: skriv A
12 års anc. senere end april 09: skriv B</t>
  </si>
  <si>
    <t>B' skal først skrives fra den måneds lønberegning, 
hvor det er aktuelt!</t>
  </si>
  <si>
    <t>Pensionstillæg Funktionstillæg 3</t>
  </si>
  <si>
    <t>Pensionstillæg Kvalifikationstillæg 1</t>
    <phoneticPr fontId="19" type="noConversion"/>
  </si>
  <si>
    <t>Pensionstillæg Kvalifikationstillæg 2</t>
  </si>
  <si>
    <t>Pensionstillæg Kvalifikationstillæg 3</t>
  </si>
  <si>
    <t>Pensionstillæg garantilønstillæg</t>
    <phoneticPr fontId="19" type="noConversion"/>
  </si>
  <si>
    <t>Pensionstillæg pensionsg. OK08-tillæg</t>
    <phoneticPr fontId="19" type="noConversion"/>
  </si>
  <si>
    <t>skolens stedtillægsområde 2-6. Rettes på lærerarket.</t>
  </si>
  <si>
    <t>beskæftigelsesgrad (BG)</t>
  </si>
  <si>
    <t>Varige og midlertidige decentrale tillæg er pensionsgivende. For lærere og bhkl.ledere med tjenestemandspension (i Efterlønskassen eller P25) er de ikke automatisk pensionsgivende, men kan aftales at udløse supplerende pension i LP.</t>
  </si>
  <si>
    <t>FUNKTIONSTILLÆG</t>
  </si>
  <si>
    <t>KVALIFIKATIONSTILLÆG</t>
  </si>
  <si>
    <t>Start med at udfylde linie 88 og 98 i denne kolonne!</t>
    <phoneticPr fontId="19" type="noConversion"/>
  </si>
  <si>
    <r>
      <t xml:space="preserve">Iflg aktivitetsplan. </t>
    </r>
    <r>
      <rPr>
        <b/>
        <sz val="10"/>
        <rFont val="Helvetica"/>
      </rPr>
      <t>SKAL</t>
    </r>
    <r>
      <rPr>
        <sz val="10"/>
        <rFont val="Helvetica"/>
      </rPr>
      <t xml:space="preserve"> omregnes til årligt timetal v. beskæftigelse under 1 år! </t>
    </r>
    <r>
      <rPr>
        <i/>
        <sz val="10"/>
        <rFont val="Helvetica"/>
      </rPr>
      <t>(Ændres i øvrigt normalt ikke i normperioden)</t>
    </r>
    <phoneticPr fontId="19" type="noConversion"/>
  </si>
  <si>
    <t>Efter årsopgørelse i juli eller ved fratræden</t>
    <phoneticPr fontId="19" type="noConversion"/>
  </si>
  <si>
    <t>gruppeliv i TopDanmark</t>
  </si>
  <si>
    <t>ikke pensionsgivende</t>
  </si>
  <si>
    <t xml:space="preserve">egetbidrag til pension eller pensionstillæg </t>
  </si>
  <si>
    <t>I menuen Filer/Sideopsætning kan du rette 'XX Friskole' til din egen skoles navn.</t>
  </si>
  <si>
    <t>iflg. ansættelsesbrev
eller pluslønsaftale (IKKE løbende overtid!)</t>
  </si>
  <si>
    <t>altid pensionsgivende i LP, indgår i garantitillægsberegningen</t>
  </si>
  <si>
    <t>pensionsgivende, indgår i garantitillægsberegningen</t>
  </si>
  <si>
    <t>”Natpenge” iflg skema, hvis ikke der er lokalaftalt godtgørelse</t>
    <phoneticPr fontId="19" type="noConversion"/>
  </si>
  <si>
    <t>pensionsgivende, indgår IKKE i garantitillægsberegningen</t>
  </si>
  <si>
    <t>II</t>
  </si>
  <si>
    <t>III</t>
  </si>
  <si>
    <t>IV</t>
  </si>
  <si>
    <t>V</t>
  </si>
  <si>
    <t>Funktionsløn, kvalifikationsløn og resultatløn kaldes under et nyløn.</t>
  </si>
  <si>
    <t>STATENS LØNTABEL GRUNDBELØB PR. 1. OKTOBER 1997</t>
  </si>
  <si>
    <t>Hanna</t>
    <phoneticPr fontId="19" type="noConversion"/>
  </si>
  <si>
    <t>Basisløn</t>
    <phoneticPr fontId="19" type="noConversion"/>
  </si>
  <si>
    <t>Områdetillæg</t>
    <phoneticPr fontId="19" type="noConversion"/>
  </si>
  <si>
    <t>Der forudsættes generelt, at de pågældende er ansat hele skoleåret.</t>
  </si>
  <si>
    <t>læ:   0-650, bh:   0-750</t>
  </si>
  <si>
    <t>læ: 650-700, bh: 750-800</t>
  </si>
  <si>
    <t>Ofte er begrundelsen for et kvalifikationstillæg at tiltrække eller fastholde medarbejdere.</t>
  </si>
  <si>
    <t>AMB-grundlag</t>
    <phoneticPr fontId="19" type="noConversion"/>
  </si>
  <si>
    <t>AM-bidrag</t>
    <phoneticPr fontId="19" type="noConversion"/>
  </si>
  <si>
    <t>A-indkomst</t>
    <phoneticPr fontId="19" type="noConversion"/>
  </si>
  <si>
    <t>Skat</t>
    <phoneticPr fontId="19" type="noConversion"/>
  </si>
  <si>
    <t>Indbetaling til Gruppeliv</t>
    <phoneticPr fontId="19" type="noConversion"/>
  </si>
  <si>
    <t>Egetbidrag til ATP</t>
    <phoneticPr fontId="19" type="noConversion"/>
  </si>
  <si>
    <t>procentregulering +1</t>
  </si>
  <si>
    <t>stedtillægsområde</t>
  </si>
  <si>
    <t>skolens stedtillægsområde 2-6</t>
  </si>
  <si>
    <t>OK08-tillæg ikke pensionsgivende</t>
    <phoneticPr fontId="19" type="noConversion"/>
  </si>
  <si>
    <t>OK08-tillæg pensionsgivende</t>
    <phoneticPr fontId="19" type="noConversion"/>
  </si>
  <si>
    <t>Pensionstillæg basisløn</t>
    <phoneticPr fontId="19" type="noConversion"/>
  </si>
  <si>
    <t>Pensionstillæg souscheftillæg</t>
    <phoneticPr fontId="19" type="noConversion"/>
  </si>
  <si>
    <t>Der er ikke taget hensyn til, at en lærer kan skifte beskæftigelsesgrad midt i en måned. Hvis dette er tilfældet, kan det løses ved at kopiere kolonnen med den pågældende måned, så første del af måneden er med en beskæftigelsesgrad, og anden del af måneden er med en anden. Husk at fjerne arkbeskyttelsen først.</t>
    <phoneticPr fontId="19" type="noConversion"/>
  </si>
  <si>
    <t>Bruttoløn (ekskl. pensionstillæg og ATP)</t>
    <phoneticPr fontId="19" type="noConversion"/>
  </si>
  <si>
    <t>Skattegrundlag</t>
    <phoneticPr fontId="19" type="noConversion"/>
  </si>
  <si>
    <t>Garantilønstillæg</t>
    <phoneticPr fontId="19" type="noConversion"/>
  </si>
  <si>
    <t>mailto:ole@friskoler.dk</t>
  </si>
  <si>
    <t>Hvis ansat 10 oktober: 21/31
Hvis fratrådt 15. februar: 15/28</t>
    <phoneticPr fontId="19" type="noConversion"/>
  </si>
  <si>
    <t>Supplerende pensionstillæg på 18%</t>
    <phoneticPr fontId="19" type="noConversion"/>
  </si>
  <si>
    <t>Skolens samlede indbetaling til LP</t>
    <phoneticPr fontId="19" type="noConversion"/>
  </si>
  <si>
    <t>Skolens samlede indbetaling til ATP</t>
    <phoneticPr fontId="19" type="noConversion"/>
  </si>
  <si>
    <t>SUM</t>
    <phoneticPr fontId="19" type="noConversion"/>
  </si>
  <si>
    <t>Pensionsordning</t>
    <phoneticPr fontId="19" type="noConversion"/>
  </si>
  <si>
    <t>Basislønsatserne er rettet til pr. 1. okt 2006</t>
  </si>
  <si>
    <t>Udligningstillæg beregnet 1. aug 2004</t>
    <phoneticPr fontId="19" type="noConversion"/>
  </si>
  <si>
    <t>Kvalifikationsløn gives for særlige kvalifikationer og kompetencer , fx diplomuddannelse, kyndighed eller særlig uddannelse i et fag fx fysik eller musik mmm.</t>
  </si>
  <si>
    <t>ikke reguleret-  ikke pensionsgivende</t>
  </si>
  <si>
    <t>Læ3</t>
  </si>
  <si>
    <t>Bh3</t>
  </si>
  <si>
    <t>Læ2</t>
  </si>
  <si>
    <t>Læ1</t>
  </si>
  <si>
    <t>Bh2</t>
  </si>
  <si>
    <t>Denne lønberegning er kun til brug for fastansatte lærere og bhkl.ledere!</t>
    <phoneticPr fontId="19" type="noConversion"/>
  </si>
  <si>
    <t>iflg. ansættelsesbrev</t>
  </si>
  <si>
    <t>tabelløn/md.</t>
  </si>
  <si>
    <t>opslag i løntabel incl stedtillæg</t>
  </si>
  <si>
    <t>tabelløn x BG</t>
  </si>
  <si>
    <t>Normalt er funktionstillæg ikke afhængige af beskæftigelsesgraden, idet varigheden af varetagelsen af funktionen netop ikke afhænger af BG.</t>
  </si>
  <si>
    <t>Skolens stedtillægsområde</t>
    <phoneticPr fontId="19" type="noConversion"/>
  </si>
  <si>
    <t>Jubilæumsgratiale (skattefri op til 8.000 kr.)</t>
    <phoneticPr fontId="19" type="noConversion"/>
  </si>
  <si>
    <t>andet</t>
    <phoneticPr fontId="19" type="noConversion"/>
  </si>
  <si>
    <t>Ved 25: 5.900 kr., 40: 7.400 kr. og 50 års jubilæum: 8.800 kr.</t>
    <phoneticPr fontId="19" type="noConversion"/>
  </si>
  <si>
    <t>Praktiklærervederlag</t>
    <phoneticPr fontId="19" type="noConversion"/>
  </si>
  <si>
    <t>Skolens indbetaling til tjenestemandspension</t>
    <phoneticPr fontId="19" type="noConversion"/>
  </si>
  <si>
    <t>Resultatlønstillæg</t>
  </si>
  <si>
    <t>Censorvederlag</t>
  </si>
  <si>
    <t>I juli eller ved fratræden. Se pjecen "Ferievejledning 2010"</t>
    <phoneticPr fontId="19" type="noConversion"/>
  </si>
  <si>
    <r>
      <t xml:space="preserve">resultatløn, ikke pensionsgivende,
</t>
    </r>
    <r>
      <rPr>
        <b/>
        <sz val="10"/>
        <rFont val="Helvetica"/>
      </rPr>
      <t>årligt grundbeløb</t>
    </r>
  </si>
  <si>
    <r>
      <t xml:space="preserve">funktionstillæg, pensionsgivende,
</t>
    </r>
    <r>
      <rPr>
        <b/>
        <sz val="10"/>
        <rFont val="Helvetica"/>
      </rPr>
      <t>årligt grundbeløb</t>
    </r>
  </si>
  <si>
    <t>i 2009 og 2010: 1,90 kr. pr. km.</t>
    <phoneticPr fontId="19" type="noConversion"/>
  </si>
  <si>
    <t>i 2009 og 2010: 3,56 kr. pr. km.</t>
    <phoneticPr fontId="19" type="noConversion"/>
  </si>
  <si>
    <t>i 2009 og 2010: 97,50 kr. pr. døgn</t>
    <phoneticPr fontId="19" type="noConversion"/>
  </si>
  <si>
    <t>aug 09: 18,69 kr., okt 09: 18,80, apr. 10: 19,00 kr. pr. time</t>
    <phoneticPr fontId="19" type="noConversion"/>
  </si>
  <si>
    <t>Km.godtgørelse, lav sats (skattefri)</t>
    <phoneticPr fontId="19" type="noConversion"/>
  </si>
  <si>
    <t>Timedagpenge (skattefri)</t>
    <phoneticPr fontId="19" type="noConversion"/>
  </si>
  <si>
    <t>Arbejds- og arbejdstidsbestemte tillæg</t>
    <phoneticPr fontId="19" type="noConversion"/>
  </si>
  <si>
    <t>Overtidsbetaling</t>
    <phoneticPr fontId="19" type="noConversion"/>
  </si>
  <si>
    <t>Merarbejdsbetaling</t>
    <phoneticPr fontId="19" type="noConversion"/>
  </si>
  <si>
    <t>Særlige feriedage til udbetaling</t>
    <phoneticPr fontId="19" type="noConversion"/>
  </si>
  <si>
    <t>Engangs nylønstillæg</t>
    <phoneticPr fontId="19" type="noConversion"/>
  </si>
  <si>
    <t>Funktionstillæg er normalt ikke personligt knyttet til en bestemt medarbejder, men følger funktionen. Alligevel vil funktionstillæg ofte være aftalt som varige, (så længe funktionen eksisterer).</t>
  </si>
  <si>
    <r>
      <t xml:space="preserve">funktionstillæg, ikke pensionsgivende,
</t>
    </r>
    <r>
      <rPr>
        <b/>
        <sz val="10"/>
        <rFont val="Helvetica"/>
      </rPr>
      <t>årligt grundbeløb</t>
    </r>
  </si>
  <si>
    <r>
      <t>Lønberegning for:</t>
    </r>
    <r>
      <rPr>
        <sz val="9"/>
        <rFont val="Helvetica"/>
      </rPr>
      <t xml:space="preserve"> (navn eller initialer)</t>
    </r>
    <r>
      <rPr>
        <b/>
        <sz val="12"/>
        <rFont val="Helvetica"/>
      </rPr>
      <t xml:space="preserve">
</t>
    </r>
    <r>
      <rPr>
        <sz val="9"/>
        <rFont val="Helvetica"/>
      </rPr>
      <t xml:space="preserve"> - variable løndele i lin. 28-42.</t>
    </r>
    <phoneticPr fontId="19" type="noConversion"/>
  </si>
  <si>
    <t>Km.godtgørelse, høj sats (skattefri)</t>
    <phoneticPr fontId="19" type="noConversion"/>
  </si>
  <si>
    <t>I stedet for variable arbejdstidsbestemte tillæg, iflg lokalaftale</t>
    <phoneticPr fontId="19" type="noConversion"/>
  </si>
  <si>
    <r>
      <t xml:space="preserve">Del af måned </t>
    </r>
    <r>
      <rPr>
        <sz val="12"/>
        <rFont val="Helvetica"/>
      </rPr>
      <t xml:space="preserve">
</t>
    </r>
    <r>
      <rPr>
        <sz val="10"/>
        <rFont val="Helvetica"/>
      </rPr>
      <t>antal kalenderdage/månedens kalenderdage</t>
    </r>
    <phoneticPr fontId="19" type="noConversion"/>
  </si>
  <si>
    <r>
      <t>Basisløntrin</t>
    </r>
    <r>
      <rPr>
        <sz val="10"/>
        <rFont val="Helvetica"/>
      </rPr>
      <t>, Læ1, Læ2, Læ3, Bh1, Bh2 Bh3</t>
    </r>
    <phoneticPr fontId="19" type="noConversion"/>
  </si>
  <si>
    <t>ATP, samlet indbetaling</t>
  </si>
  <si>
    <t>•</t>
  </si>
  <si>
    <t>Kvalifikationstillæg er som regel personlige og varige, men kan aftales som midlertidige tillæg i en nærmere bestemt periode, eller som engangsydelse.</t>
  </si>
  <si>
    <t>Fast lokalaftalt godtgørelse</t>
    <phoneticPr fontId="19" type="noConversion"/>
  </si>
  <si>
    <t>Gruppelivstillæg</t>
    <phoneticPr fontId="19" type="noConversion"/>
  </si>
  <si>
    <t>VI</t>
  </si>
  <si>
    <t>Pensionsg.løn</t>
  </si>
  <si>
    <t>Bh1</t>
  </si>
  <si>
    <t>Resultatlønstillæg gives som engangsydelser, når bestemte kriterier er opnået.
Engangsbeløb skrives i lin. 28 til 42.</t>
    <phoneticPr fontId="19" type="noConversion"/>
  </si>
  <si>
    <t xml:space="preserve">ansat d. </t>
    <phoneticPr fontId="19" type="noConversion"/>
  </si>
  <si>
    <t>RESULTATLØN</t>
  </si>
  <si>
    <t>læ: 700-750, bh: 800-835</t>
  </si>
  <si>
    <t xml:space="preserve">læ: 750-   , bh: 835-   </t>
  </si>
  <si>
    <t>Decentrale tillæg kan gives som varige eller midlertidige i en bestemt periode, eller de kan udbetales som en engangsydelse.</t>
  </si>
  <si>
    <t>"Funktionstillæg", der gives til alle lærere eller en gruppe efter objektive kriterier på en skole er i virkeligheden kvalifikationstillæg, der er benævnt forkert.</t>
  </si>
  <si>
    <t>Undervisningstillæg</t>
    <phoneticPr fontId="19" type="noConversion"/>
  </si>
  <si>
    <t>Souscheftillæg</t>
    <phoneticPr fontId="19" type="noConversion"/>
  </si>
  <si>
    <t>Funktionstillæg 1</t>
    <phoneticPr fontId="19" type="noConversion"/>
  </si>
  <si>
    <t>Funktionstillæg 2</t>
  </si>
  <si>
    <t>Funktionstillæg 3</t>
  </si>
  <si>
    <t>Kvalifikationstillæg 1</t>
    <phoneticPr fontId="19" type="noConversion"/>
  </si>
  <si>
    <t>Kvalifikationstillæg 2</t>
  </si>
  <si>
    <t>Kvalifikationstillæg 3</t>
  </si>
  <si>
    <t>Ulempegodtgørelse</t>
    <phoneticPr fontId="19" type="noConversion"/>
  </si>
  <si>
    <t>Engangsudbetalinger iflg. specifikation</t>
    <phoneticPr fontId="19" type="noConversion"/>
  </si>
  <si>
    <t>Egetbidrag til LP</t>
    <phoneticPr fontId="19" type="noConversion"/>
  </si>
  <si>
    <t>Pensionstillæg i alt</t>
    <phoneticPr fontId="19" type="noConversion"/>
  </si>
  <si>
    <t>se i løntabel</t>
    <phoneticPr fontId="19" type="noConversion"/>
  </si>
  <si>
    <t>Pensionstillæg undervisningstillæg</t>
    <phoneticPr fontId="19" type="noConversion"/>
  </si>
  <si>
    <t>Arbejdsgiverbidrag til LP</t>
    <phoneticPr fontId="19" type="noConversion"/>
  </si>
  <si>
    <t>Udfyld gule felter (alle forudfyldte tal i gule felter er eksempler)</t>
    <phoneticPr fontId="19" type="noConversion"/>
  </si>
  <si>
    <t>specifikation af uv.tillæg</t>
    <phoneticPr fontId="19" type="noConversion"/>
  </si>
  <si>
    <r>
      <t>Hvis 'JA' beregnes for alle pensionsgivende beløb pension i LP for personer med tjenestemandspension</t>
    </r>
    <r>
      <rPr>
        <sz val="8"/>
        <rFont val="Helvetica"/>
      </rPr>
      <t xml:space="preserve"> (17,3% og 18% over visse beløb)</t>
    </r>
    <phoneticPr fontId="19" type="noConversion"/>
  </si>
  <si>
    <r>
      <t xml:space="preserve">Kval.tillæg, </t>
    </r>
    <r>
      <rPr>
        <b/>
        <sz val="10"/>
        <rFont val="Helvetica"/>
      </rPr>
      <t>ikke</t>
    </r>
    <r>
      <rPr>
        <sz val="10"/>
        <rFont val="Helvetica"/>
      </rPr>
      <t xml:space="preserve"> afhængig af BG,
årligt grundbeløb</t>
    </r>
    <phoneticPr fontId="19" type="noConversion"/>
  </si>
  <si>
    <t>Kval.tillæg, afhængig af BG,
årligt grundbeløb v. 100% BG</t>
    <phoneticPr fontId="19" type="noConversion"/>
  </si>
  <si>
    <t>Pensionstillæg Funktionstillæg 1</t>
    <phoneticPr fontId="19" type="noConversion"/>
  </si>
  <si>
    <t>Pensionstillæg Funktionstillæg 2</t>
  </si>
  <si>
    <t>Feriedifference</t>
  </si>
  <si>
    <t>Se pjecen "Ferievejledning 2010"</t>
    <phoneticPr fontId="19" type="noConversion"/>
  </si>
  <si>
    <t>Feriegodtgørelsesgrundlag, jan-dec 09</t>
    <phoneticPr fontId="19" type="noConversion"/>
  </si>
  <si>
    <t>Feriepengeberegningsgrundlag, jan-jul 10</t>
    <phoneticPr fontId="19" type="noConversion"/>
  </si>
  <si>
    <t>ikke pensionsgivende ikke afhængig af BG</t>
  </si>
  <si>
    <r>
      <t xml:space="preserve">kvalifikationstillæg, ikke pensionsgivende,
</t>
    </r>
    <r>
      <rPr>
        <b/>
        <sz val="10"/>
        <rFont val="Helvetica"/>
      </rPr>
      <t>årligt grundbeløb</t>
    </r>
  </si>
  <si>
    <t>Egenbetalte fridage</t>
    <phoneticPr fontId="19" type="noConversion"/>
  </si>
  <si>
    <t>Skatteprocent</t>
    <phoneticPr fontId="19" type="noConversion"/>
  </si>
  <si>
    <t>Månedligt skattefradrag</t>
    <phoneticPr fontId="19" type="noConversion"/>
  </si>
  <si>
    <t>Flydende tillæg (beregn selv!)</t>
    <phoneticPr fontId="19" type="noConversion"/>
  </si>
  <si>
    <t>NN</t>
    <phoneticPr fontId="19" type="noConversion"/>
  </si>
  <si>
    <t>basisløn for lærer (Læ) eller bhkl.leder (Bh)</t>
    <phoneticPr fontId="19" type="noConversion"/>
  </si>
  <si>
    <t>Udligningstillæg, beregnet pr. 1. aug 04
årligt grundbeløb v. 100% BG</t>
    <phoneticPr fontId="19" type="noConversion"/>
  </si>
  <si>
    <t>Suppl. pension i LP JA/NEJ</t>
    <phoneticPr fontId="19" type="noConversion"/>
  </si>
  <si>
    <t>Særlig feriegodtgørelse (Ferietillæg) 1,5%</t>
    <phoneticPr fontId="19" type="noConversion"/>
  </si>
  <si>
    <t>Kalenderårets sum benyttes ved beregning af ferietillæg 1,5%</t>
    <phoneticPr fontId="19" type="noConversion"/>
  </si>
  <si>
    <t>Kalenderårets gennemsnit benyttes ved beregning af feriedifference</t>
    <phoneticPr fontId="19" type="noConversion"/>
  </si>
  <si>
    <t>Feriedifference af pension</t>
    <phoneticPr fontId="19" type="noConversion"/>
  </si>
  <si>
    <t>Procentregulering +1</t>
    <phoneticPr fontId="19" type="noConversion"/>
  </si>
  <si>
    <t>Beskæftigelsesgrad</t>
    <phoneticPr fontId="19" type="noConversion"/>
  </si>
  <si>
    <t>Undervisningstimer årligt</t>
    <phoneticPr fontId="19" type="noConversion"/>
  </si>
  <si>
    <t>Årligt souscheftillæg i grundbeløb,
skriv 14.700.</t>
    <phoneticPr fontId="19" type="noConversion"/>
  </si>
  <si>
    <t>Måned</t>
  </si>
  <si>
    <t>Løn til den ansattes disposition</t>
    <phoneticPr fontId="19" type="noConversion"/>
  </si>
  <si>
    <t>L</t>
    <phoneticPr fontId="19" type="noConversion"/>
  </si>
  <si>
    <t>Bh1</t>
    <phoneticPr fontId="19" type="noConversion"/>
  </si>
  <si>
    <t>Planlagte feriedage</t>
    <phoneticPr fontId="19" type="noConversion"/>
  </si>
  <si>
    <t>Normalt 5 dage i aug og 20 dage i juli.</t>
    <phoneticPr fontId="19" type="noConversion"/>
  </si>
  <si>
    <t>Kalenderårets sum benyttes ved fratræden og særlige feriedage</t>
  </si>
  <si>
    <t>Beregningsgrundlag for feriedifference</t>
    <phoneticPr fontId="19" type="noConversion"/>
  </si>
  <si>
    <t>Funktionsløn gives for varetagelse af særlige funktioner. Fx lokaletilsyn, ansvar for it, ansvarlig for vikartilkald mmm.</t>
  </si>
  <si>
    <t>Decentrale nylønstillæg, der ydes som engangsydelser, er som udgangspunkt ikke pensionsgivende, men det kan aftales. 
Nylønstillæg, der gives som engangsbeløb kan skrives i lin. 38 og 39.</t>
    <phoneticPr fontId="19" type="noConversion"/>
  </si>
  <si>
    <t>NEJ</t>
    <phoneticPr fontId="19" type="noConversion"/>
  </si>
  <si>
    <t>L</t>
    <phoneticPr fontId="19" type="noConversion"/>
  </si>
  <si>
    <t>Start med at udfylde linie 58 og 68 i denne kolonne!</t>
    <phoneticPr fontId="19" type="noConversion"/>
  </si>
  <si>
    <r>
      <t xml:space="preserve">.. heraf antal feriedage,
hvortil der </t>
    </r>
    <r>
      <rPr>
        <b/>
        <i/>
        <sz val="10"/>
        <rFont val="Helvetica"/>
      </rPr>
      <t>ikke</t>
    </r>
    <r>
      <rPr>
        <i/>
        <sz val="10"/>
        <rFont val="Helvetica"/>
      </rPr>
      <t xml:space="preserve"> er optjent ferieret</t>
    </r>
    <phoneticPr fontId="19" type="noConversion"/>
  </si>
  <si>
    <t>AUG 09</t>
  </si>
  <si>
    <t>SEP09</t>
  </si>
  <si>
    <t>OKT 09</t>
  </si>
  <si>
    <t>NOV 09</t>
  </si>
  <si>
    <t>DEC 09</t>
  </si>
  <si>
    <t>JAN 10</t>
  </si>
  <si>
    <t>FEB 10</t>
  </si>
  <si>
    <t>MAR 10</t>
  </si>
  <si>
    <t>APR 10</t>
  </si>
  <si>
    <t>MAJ10</t>
  </si>
  <si>
    <t>JUN 10</t>
  </si>
  <si>
    <t>JUL 10</t>
  </si>
  <si>
    <t>1,5% af beregningsgrundlaget for 2010</t>
    <phoneticPr fontId="19" type="noConversion"/>
  </si>
  <si>
    <r>
      <t>Gennemsnitlig BG</t>
    </r>
    <r>
      <rPr>
        <i/>
        <sz val="9"/>
        <rFont val="Helvetica"/>
      </rPr>
      <t xml:space="preserve"> i 2009</t>
    </r>
    <phoneticPr fontId="19" type="noConversion"/>
  </si>
  <si>
    <r>
      <t>Gennemsnitlig BG</t>
    </r>
    <r>
      <rPr>
        <i/>
        <sz val="9"/>
        <rFont val="Helvetica"/>
      </rPr>
      <t xml:space="preserve"> i 2010</t>
    </r>
    <phoneticPr fontId="19" type="noConversion"/>
  </si>
  <si>
    <r>
      <t>Gennemsnitlig BG</t>
    </r>
    <r>
      <rPr>
        <i/>
        <sz val="9"/>
        <rFont val="Helvetica"/>
      </rPr>
      <t xml:space="preserve"> i 2009</t>
    </r>
    <phoneticPr fontId="19" type="noConversion"/>
  </si>
  <si>
    <r>
      <t>Gennemsnitlig BG</t>
    </r>
    <r>
      <rPr>
        <i/>
        <sz val="9"/>
        <rFont val="Helvetica"/>
      </rPr>
      <t xml:space="preserve"> i 2008</t>
    </r>
    <phoneticPr fontId="19" type="noConversion"/>
  </si>
  <si>
    <t>Feriegodtgørelsesgrundlag, jan-dec 10</t>
    <phoneticPr fontId="19" type="noConversion"/>
  </si>
  <si>
    <t>Feriegodtgørelsesgrundlag, jan-juli 11</t>
    <phoneticPr fontId="19" type="noConversion"/>
  </si>
  <si>
    <t>Feriepengeberegningsgrundlag, jan-dec 10</t>
    <phoneticPr fontId="19" type="noConversion"/>
  </si>
  <si>
    <t>Feriepengeberegningsgrundlag, jan-jul 11</t>
    <phoneticPr fontId="19" type="noConversion"/>
  </si>
  <si>
    <t>Udbetales i den måned hovedferien begynder, normalt juli</t>
    <phoneticPr fontId="19" type="noConversion"/>
  </si>
  <si>
    <t>Fradrag i pensionstillæg for ikke optjent ferie mv.</t>
    <phoneticPr fontId="19" type="noConversion"/>
  </si>
  <si>
    <t>Løn- og pensionsfradrag beregnes i lin 60 og 78</t>
    <phoneticPr fontId="19" type="noConversion"/>
  </si>
  <si>
    <t>NEJ</t>
    <phoneticPr fontId="19" type="noConversion"/>
  </si>
  <si>
    <t>Lønfradrag for ikke optjent ferie mv.</t>
    <phoneticPr fontId="19" type="noConversion"/>
  </si>
  <si>
    <t>Lokalaftalt fast suppl. ulempegodtgørelse</t>
    <phoneticPr fontId="19" type="noConversion"/>
  </si>
  <si>
    <t>Beregningsgrundlag af feriediff.for pension</t>
    <phoneticPr fontId="19" type="noConversion"/>
  </si>
  <si>
    <t>Benyttes ved beregning af feriedifference.</t>
  </si>
  <si>
    <t>Benyttes ved beregning af feriedifference.</t>
    <phoneticPr fontId="19" type="noConversion"/>
  </si>
  <si>
    <r>
      <t xml:space="preserve">Funktionsstillæg, </t>
    </r>
    <r>
      <rPr>
        <b/>
        <sz val="10"/>
        <rFont val="Helvetica"/>
      </rPr>
      <t>ikke</t>
    </r>
    <r>
      <rPr>
        <sz val="10"/>
        <rFont val="Helvetica"/>
      </rPr>
      <t xml:space="preserve"> afh. af BG,
årligt grundbeløb</t>
    </r>
    <phoneticPr fontId="19" type="noConversion"/>
  </si>
  <si>
    <t>Rettelser:</t>
    <phoneticPr fontId="19" type="noConversion"/>
  </si>
  <si>
    <t>1,5% af beregningsgrundlaget for 2009</t>
    <phoneticPr fontId="19" type="noConversion"/>
  </si>
  <si>
    <t>Pensionstillæg intervaltillæg for kostafdeling</t>
    <phoneticPr fontId="19" type="noConversion"/>
  </si>
  <si>
    <t>ansat 14. feb 10</t>
  </si>
  <si>
    <t>Hvis ansat 10 oktober: 21/31
Hvis fratrådt 15. februar 12: 15/29</t>
  </si>
  <si>
    <t>udg.:</t>
  </si>
  <si>
    <t>Se pjecen "Ferievejledning 2011"</t>
  </si>
  <si>
    <t>Feriegodtgørelsesgrundlag, jan-dec 11</t>
  </si>
  <si>
    <t>Feriegodtgørelsesgrundlag, jan-juli 12</t>
  </si>
  <si>
    <t>Feriepengeberegningsgrundlag, jan-dec 11</t>
  </si>
  <si>
    <t>Feriepengeberegningsgrundlag, jan-jul 12</t>
  </si>
  <si>
    <t>B</t>
  </si>
  <si>
    <t>C</t>
  </si>
  <si>
    <t>D</t>
  </si>
  <si>
    <t>E</t>
  </si>
  <si>
    <t>F</t>
  </si>
  <si>
    <t>L</t>
  </si>
  <si>
    <t>Se løntabel</t>
  </si>
  <si>
    <t>NN</t>
  </si>
  <si>
    <t>Ark:</t>
  </si>
  <si>
    <t>A</t>
  </si>
  <si>
    <t>fx: A</t>
  </si>
  <si>
    <t>Måned:</t>
  </si>
  <si>
    <t>fx: AUG</t>
  </si>
  <si>
    <t>LØNSPECIFIKATION for</t>
  </si>
  <si>
    <t xml:space="preserve">LØNPERIODE: </t>
  </si>
  <si>
    <t>BESKÆFTIGELSESGRAD:</t>
  </si>
  <si>
    <t>DEL AF MÅNED:</t>
  </si>
  <si>
    <t>LØNTRIN:</t>
  </si>
  <si>
    <t>Leder</t>
  </si>
  <si>
    <t>fx: Leder</t>
  </si>
  <si>
    <t>AUG</t>
  </si>
  <si>
    <t>Arkfanens navn bør omdøbes til den ansattes initialer eller navn.</t>
  </si>
  <si>
    <r>
      <t>Gennemsnitlig BG</t>
    </r>
    <r>
      <rPr>
        <i/>
        <sz val="9"/>
        <rFont val="Helvetica"/>
      </rPr>
      <t xml:space="preserve"> i 2010</t>
    </r>
  </si>
  <si>
    <r>
      <t>Gennemsnitlig BG</t>
    </r>
    <r>
      <rPr>
        <i/>
        <sz val="9"/>
        <rFont val="Helvetica"/>
      </rPr>
      <t xml:space="preserve"> i 2011</t>
    </r>
  </si>
  <si>
    <t>STATENS LØNTABEL GRUNDBELØB PR. 31. marts 2012</t>
  </si>
  <si>
    <t>Basistrin</t>
  </si>
  <si>
    <t>Midlertidigt områdetillæg 2007:</t>
  </si>
  <si>
    <t>årligt</t>
  </si>
  <si>
    <t>II til III</t>
  </si>
  <si>
    <t>III til IV</t>
  </si>
  <si>
    <t>IV til V</t>
  </si>
  <si>
    <t>V til VI</t>
  </si>
  <si>
    <t>månedligt</t>
  </si>
  <si>
    <t xml:space="preserve">Hvis der er brug for flere lærere kan et vilkårligt ark (fane) kopieres. </t>
  </si>
  <si>
    <t>Årligt souscheftillæg i grundbeløb,
skriv 14.700. Pr. 1. april 2012: 19.300 .</t>
  </si>
  <si>
    <t>d</t>
  </si>
  <si>
    <t>SEP</t>
  </si>
  <si>
    <t>e</t>
  </si>
  <si>
    <t>OKT</t>
  </si>
  <si>
    <t>f</t>
  </si>
  <si>
    <t>NOV</t>
  </si>
  <si>
    <t>g</t>
  </si>
  <si>
    <t>DEC</t>
  </si>
  <si>
    <t>h</t>
  </si>
  <si>
    <t>JAN</t>
  </si>
  <si>
    <t>i</t>
  </si>
  <si>
    <t>FEB</t>
  </si>
  <si>
    <t>j</t>
  </si>
  <si>
    <t>MAR</t>
  </si>
  <si>
    <t>k</t>
  </si>
  <si>
    <t>APR</t>
  </si>
  <si>
    <t>l</t>
  </si>
  <si>
    <t>MAJ</t>
  </si>
  <si>
    <t>m</t>
  </si>
  <si>
    <t>JUN</t>
  </si>
  <si>
    <t>n</t>
  </si>
  <si>
    <t>JUL</t>
  </si>
  <si>
    <t>o</t>
  </si>
  <si>
    <t>Feriegodtgørelsesgrundlag, jan-juli 10</t>
  </si>
  <si>
    <t>Feriepengeberegningsgrundlag, jan-dec 09</t>
  </si>
  <si>
    <t>1,5% af beregningsgrundlaget for 2011</t>
  </si>
  <si>
    <t>Lønspec.-arkene kan benyttes som bilag til de ofte summariske lønsedler fra fx Dataløn, Proløn og Danløn mv. Du skal blot indtaste arkets navn og måneden for specifikationen og skrive arket ud. Kun linier med beløb udskrives. Linier uden beløb er tomme. 
Der er et særligt ark med specifikationer for intervallønnede</t>
  </si>
  <si>
    <t>ALLE</t>
  </si>
  <si>
    <r>
      <t>Gennemsnitlig BG</t>
    </r>
    <r>
      <rPr>
        <i/>
        <sz val="9"/>
        <rFont val="Helvetica"/>
      </rPr>
      <t xml:space="preserve"> i 2012</t>
    </r>
  </si>
  <si>
    <t>Feriegodtgørelsesgrundlag, jan-dec 12</t>
  </si>
  <si>
    <t>Feriegodtgørelsesgrundlag, jan-juli 13</t>
  </si>
  <si>
    <t>Feriepengeberegningsgrundlag, jan-dec 12</t>
  </si>
  <si>
    <t>Feriepengeberegningsgrundlag, jan-jul 13</t>
  </si>
  <si>
    <t>Se pjecen "Ferievejledning 2012"</t>
  </si>
  <si>
    <t>I juli eller ved fratræden. Se pjecen "Ferievejledning 2012"</t>
  </si>
  <si>
    <r>
      <t xml:space="preserve">Kval.tillæg, afhængig af BG, årligt grundbeløb
 v. 100% BG </t>
    </r>
    <r>
      <rPr>
        <b/>
        <sz val="10"/>
        <rFont val="Helvetica"/>
      </rPr>
      <t>påvirker ikke garantiløn</t>
    </r>
  </si>
  <si>
    <r>
      <t xml:space="preserve">pensionsgivende, indgår </t>
    </r>
    <r>
      <rPr>
        <b/>
        <sz val="10"/>
        <rFont val="Helvetica"/>
      </rPr>
      <t>IKKE</t>
    </r>
    <r>
      <rPr>
        <sz val="10"/>
        <rFont val="Helvetica"/>
      </rPr>
      <t xml:space="preserve"> i garantitillægsberegningen</t>
    </r>
  </si>
  <si>
    <t>Årlig intervalløn i 31.03.12-niveau</t>
  </si>
  <si>
    <t>INTERVALLØN i 31.03.12-niveau:</t>
  </si>
  <si>
    <t>2012/13</t>
  </si>
  <si>
    <t>jan-jul</t>
  </si>
  <si>
    <t>Årligt souscheftillæg i grundbeløb,
skriv : 19.300 .</t>
  </si>
  <si>
    <t>altid pensionsgivende i LP</t>
  </si>
  <si>
    <t>pensionsgivende for lærere i LP</t>
  </si>
  <si>
    <r>
      <t>Basisløntrin</t>
    </r>
    <r>
      <rPr>
        <sz val="10"/>
        <rFont val="Helvetica"/>
      </rPr>
      <t>, Læ1 -, Læ4, Bh1 -  Bh4</t>
    </r>
  </si>
  <si>
    <t>Trin 4-tillæg beregnet pr. 1. aug 2014
årligt grundbeløb v. 100% BG</t>
  </si>
  <si>
    <t>Kval.tillæg, afhængig af BG,
årligt grundbeløb v. 100% BG</t>
  </si>
  <si>
    <t>pensionsgivende for lærere i LP. 
Kan ikke gives samtidig med trin 4-tillæg</t>
  </si>
  <si>
    <t>pensionsgivende for lærere i LP – kun for lærere, der var ansat på nærværende skole før 1. aug 04</t>
  </si>
  <si>
    <t>Trin 4-tillæg beregnet 1. aug 2014</t>
  </si>
  <si>
    <t>Pensionstillæg af trin 4-tillæg</t>
  </si>
  <si>
    <r>
      <t>Gennemsnitlig BG</t>
    </r>
    <r>
      <rPr>
        <i/>
        <sz val="9"/>
        <rFont val="Helvetica"/>
      </rPr>
      <t xml:space="preserve"> i 2013</t>
    </r>
  </si>
  <si>
    <t>Se pjecen "Ferievejledning 2013"</t>
  </si>
  <si>
    <t>Feriegodtgørelsesgrundlag, jan-dec 13</t>
  </si>
  <si>
    <t>Feriegodtgørelsesgrundlag, jan-juli 14</t>
  </si>
  <si>
    <t>Feriepengeberegningsgrundlag, jan-dec 13</t>
  </si>
  <si>
    <t>Feriepengeberegningsgrundlag, jan-jul 14</t>
  </si>
  <si>
    <t>Hvis ansat 10 oktober: 21/31
Hvis fratrådt 15. april 12: 15/30</t>
  </si>
  <si>
    <t>OK13-tillæg</t>
  </si>
  <si>
    <t>Pensionstillæg af OK13-tillæg</t>
  </si>
  <si>
    <t>2008/09</t>
  </si>
  <si>
    <t>2009/10</t>
  </si>
  <si>
    <t>2010/11</t>
  </si>
  <si>
    <t>2011/12</t>
  </si>
  <si>
    <t>SAMMENHÆNG MED ANSATTE MED TRIN 4-TILLÆG</t>
  </si>
  <si>
    <t>ÅRLIG LØN i grundbeløb pr. 31.03.12</t>
  </si>
  <si>
    <t>Jette</t>
  </si>
  <si>
    <t>Gitte</t>
  </si>
  <si>
    <t>Anette</t>
  </si>
  <si>
    <t>Lærer eller børnehaveklasseleder  Skriv L eller B</t>
  </si>
  <si>
    <t>Løn, basistrin 3</t>
  </si>
  <si>
    <t>Udligningstillæg fra 2004</t>
  </si>
  <si>
    <t>Varigt kvalifikationstillæg</t>
  </si>
  <si>
    <t>Gruppevist funktionstillæg (egl. kvalifikationstillæg)</t>
  </si>
  <si>
    <t>Midlertidigt kvalifikationstillæg (indgår ikke i garantilønsberegning)</t>
  </si>
  <si>
    <t>Midlertidige og varige lokalaftalte funktionstillæg (ikke i garantiberegn.)</t>
  </si>
  <si>
    <t>Løn, basistrin 4 pr. 1. august 2013</t>
  </si>
  <si>
    <t>Pensionsgivende trin 4-tillæg pr. 1. august 2013</t>
  </si>
  <si>
    <t>Skriv beløbene ind for fuld tid! Beskæftigelsesgraden indgår ved den konkrete lønbehandling.</t>
  </si>
  <si>
    <t>LØNBEREGNING FOR FRISKOLER gældende for skoleåret 2013/14</t>
  </si>
  <si>
    <t>Hvis skolen med mindst 65 elever ikke har en viceleder (eller afdelingsleder), skal en lærer eller bhkl.leder have souscheffunktion. Vedkommende skal have indtastet 19.300 i lin. 11.</t>
  </si>
  <si>
    <t>OK 08 tillæg beregnes automatisk.</t>
  </si>
  <si>
    <t>Trin 4 tillæg skal beregnes i et særligt ark 'Trin4tillaeg' og indsættes i lin 17.</t>
  </si>
  <si>
    <t>OK08-tillæg</t>
  </si>
  <si>
    <t>Ansatte, der pr. 1. april 2013 havde mindst 12 års anciennitet, og som stadig er ansat efter 1. august 2013, overgik 1. august 2013 til basistrin 4. Hvis den hidtidige samlede løn inklusive et evt. udligningstillæg fra 1. august 2004 men eksklusiv alle centralt aftalte tillæg (herunder undervisningstillæg) og alle engangsudbetalinger ved overgangen til basistrin 4 hermed gik ned, skulle der pr. 1. august 2013 beregnes et trin 4-tillæg, der udlignede lønforskellen.
Udover trin 4-tillægget, der på en måde indeholder hidtidige decentralt aftalte funktionstillæg og evt. midlertidige kvalifikationstillæg, kan sådanne ansatte få aftalt nye kvalifikation- og funktionstillæg.</t>
  </si>
  <si>
    <t>se i løntabel for april 2014, når den udkommer</t>
  </si>
  <si>
    <t>Hvis ansat 10 oktober: 21/31
Hvis fratrådt 15. september 13: 15/30</t>
  </si>
  <si>
    <t>Anne</t>
  </si>
  <si>
    <t>allerede udfyldte gule tal er eksempler, som kan/bør overskrives</t>
  </si>
  <si>
    <t>falder bort 1. aug 2013</t>
  </si>
  <si>
    <t>ydes afhængig af lokal lønaftale fortsat efter 1. aug 2013 udover trin 4-tillægget</t>
  </si>
  <si>
    <r>
      <t>Beregnet garantitillæg før 1. august 2013</t>
    </r>
    <r>
      <rPr>
        <sz val="10"/>
        <rFont val="Helvetica"/>
      </rPr>
      <t xml:space="preserve"> (som det burde have set ud)</t>
    </r>
  </si>
  <si>
    <t>falder under alle omstændigheder bort 1. aug 2013 for ansatte med 12 års anc.</t>
  </si>
  <si>
    <r>
      <t>OK2008-tillæg jf. §4 stk. 6 og §4 stk. 7</t>
    </r>
    <r>
      <rPr>
        <sz val="10"/>
        <rFont val="Helvetica"/>
      </rPr>
      <t xml:space="preserve"> (som det burde have set ud)</t>
    </r>
  </si>
  <si>
    <t>svarende til teknisk trin 4</t>
  </si>
  <si>
    <t>Ansatte, der først opnår 12 års anciennitet senere end 1. april 2013, skal IKKE have beregnet trin 4-tillæg! De beholder et evt. udligningstillæg fra 2004</t>
  </si>
  <si>
    <t>Beskæftigelsesgrad (aug 2013)</t>
  </si>
  <si>
    <t>Månedligt basistrin 4-løn (aug 2013)</t>
  </si>
  <si>
    <t>månedligt trin 4-tillæg (aug 2013)</t>
  </si>
  <si>
    <t>Læ4</t>
  </si>
  <si>
    <t>Bh4</t>
  </si>
  <si>
    <t>Uddrag af FSLs udmelding om trin 4-tillæg og sammenhængen til decentral løn:</t>
  </si>
  <si>
    <t>Tillæg skal ikke fordobles</t>
  </si>
  <si>
    <t>De lærere, som i forvejen er på garantitrinnet og nu skal ind på trin 4, har fået afregnet for de tillæg, som indgår i deres trin 4 tillæg.</t>
  </si>
  <si>
    <t>Diskussionen har gået på, om man, såfremt man havde et tillæg for eksempelvis at være TR, skulle have tillægget en gang til, når nu tillægget var blevet til et varigt, personligt og pensionsgivende tillæg. Og svaret lyder: Det har man ikke krav på!</t>
  </si>
  <si>
    <t>Et eksempel: En medarbejder, som i det gamle system fik et tillæg for en bestemt funktion, får nu det tillæg som en del af det nye trin 4 tillæg. Hvis medarbejderen stopper i den funktion, som udløste tillægget, får det ingen konsekvenser for medarbejderens trin 4 tillæg. Men hvis hans funktion overtages af en anden medarbejder, skal denne have tillægget (medmindre tillægget allerede en gang er indregnet i vedkommendes eventuelle trin 4 tillæg).</t>
  </si>
  <si>
    <t>Det er altså kun nye eller ændrede funktioner samt nye kvalifikationstillæg, som vil være med til at løfte lønnen for dem, der er på trin 4. Dog gælder det, at hvis et af de tillæg, som indgår i en lærers trin 4 tillæg, stiger, fordi det aftales, skal stigningen også komme læreren til gode i form af et nyt tillæg. Det gælder dog kun, hvis læreren stadig er berettiget til tillægget.</t>
  </si>
  <si>
    <t>Vi er helt klar over, at FSL’s første udmelding ikke var så klar, som det meldes ud her, men de mange henvendelser fra skoler og TR’ere har ført til en fælles afklaring, som tager hensyn til skolernes decentral løn-profil, og det flugter godt med tænkningen bag decentral løn.</t>
  </si>
  <si>
    <t>Det kan ikke udelukkes, at det vil blive nødvendigt lokalt at diskutere tillægsstruktur og eventuelt lønpolitikken for at være sikker på, at intentionerne i den lokale lønpolitik stadigt overholdes. I den forbindelse er det vigtigt for FSL at understrege, at TR ikke bør opsige varige tillæg uden først at vende det med en konsulent på sekretariatet  og diskuteret det med medlemmerne. Ændringer kan have meget vidtgående konsekvenser for de berørte.</t>
  </si>
  <si>
    <t>Tillæg 4 kan være decentral løn</t>
  </si>
  <si>
    <t>FSL har regnet ud, at en gennemsnitlig skole binder cirka 1½ % i trin 4 tillægget. Der vil være store lokale forskelle på, hvor meget der er bundet i trin 4 tillægget, afhængigt af hvor mange lærere, der har mere end 12 års anciennitet. Det vil være en god ide at skabe en fælles forståelse for jeres lokale procenttal, inden I begynder jeres lønforhandling. Men det er vigtigt at være opmærksom på, at skolen kan hævde, at en del af den decentrale løn er brugt til at finansiere trin 4 tillægget. Og det er det andet punkt fra forståelsespapiret: Skolerne kan bruge en del af decentral løn til at finansiere trin 4 tillægget.</t>
  </si>
  <si>
    <t>Der er luft til lokal løn</t>
  </si>
  <si>
    <t>Det er også vigtigt at nævne, at der stadig skal forhandles decentral løn på skolerne, og at det stadigt er TR, som forhandler med skolens leder.</t>
  </si>
  <si>
    <t>Det er således vores klare overbevisning, at den decentrale løn fortsat skal udvikles på den enkelte skole, og det er også, hvad vi er blevet præsenteret for i MOS. Aldrig har det været mere nærliggende at sammenligne lønnen med den lokale folkeskole. Vi har identiske arbejdstidsregler fra 1. august 2014, og derfor bør vi også have samme løn. FSL arbejder i øjeblikket på at få bedre tal for den enkelte kommunes lønaftaler for folkeskolen, og vi udvikler til stadighed vores værktøj til lønsammenligning.</t>
  </si>
  <si>
    <t>Der vil på langt de fleste skoler være et budgetmæssigt råderum til at udvikle den decentrale løn i år. Vi fik ikke nogen central lønstigning den 1. april, og det bør i stedet give plads til en stigning i de lokale tillæg, da de færreste skoler har budgetteret med en nulvækst på lønnen i et overenskomstår.</t>
  </si>
  <si>
    <t>Samtidig må vi sige, at tænkningen i det nye lønsystem ligesom i det gamle er, at den decentrale løn fortsat skal udvikles. Det nye lønsystem er ”betalt” med afskaffelsen af råderumspapiret og ikke mindst garantiudmøntningen. Så på de fleste skoler bør der alt andet lige være plads til en stigning i den decentrale løn.</t>
  </si>
  <si>
    <t>for ansatte med tjenestemandspension er det kun pensionsgivende, hvis der i forvejen var aftalt supplerende pension</t>
  </si>
  <si>
    <r>
      <t>Basisløntrin</t>
    </r>
    <r>
      <rPr>
        <sz val="10"/>
        <rFont val="Helvetica"/>
      </rPr>
      <t>, Læ1 - Læ4, Bh1 -  Bh4</t>
    </r>
  </si>
  <si>
    <t>jan-juli</t>
  </si>
  <si>
    <t>Pensionsg.</t>
  </si>
  <si>
    <t>BG-afh.</t>
  </si>
  <si>
    <t>Regu-leret</t>
  </si>
  <si>
    <t>sæt 'x'</t>
  </si>
  <si>
    <t>x</t>
  </si>
  <si>
    <t>p</t>
  </si>
  <si>
    <t>q</t>
  </si>
  <si>
    <t>r</t>
  </si>
  <si>
    <r>
      <t xml:space="preserve">Funktionsstillæg, </t>
    </r>
    <r>
      <rPr>
        <sz val="10"/>
        <rFont val="Helvetica"/>
      </rPr>
      <t>årligt grundbeløb</t>
    </r>
  </si>
  <si>
    <r>
      <t>Kval.tillæg</t>
    </r>
    <r>
      <rPr>
        <sz val="10"/>
        <rFont val="Helvetica"/>
      </rPr>
      <t>,
årligt grundbeløb</t>
    </r>
  </si>
  <si>
    <r>
      <t>Gennemsnitlig BG</t>
    </r>
    <r>
      <rPr>
        <i/>
        <sz val="9"/>
        <rFont val="Helvetica"/>
      </rPr>
      <t xml:space="preserve"> i 2014</t>
    </r>
  </si>
  <si>
    <t>1,5% af beregningsgrundlaget for 2013</t>
  </si>
  <si>
    <t>Feriegodtgørelsesgrundlag, jan-dec 14</t>
  </si>
  <si>
    <t>Feriegodtgørelsesgrundlag, jan-juli 15</t>
  </si>
  <si>
    <t>Antal timer med 25%-tillæg</t>
  </si>
  <si>
    <t>Antal weekendtimer med 50%-tillæg</t>
  </si>
  <si>
    <t>Antal timer, der udløser 'flydende tillæg'.</t>
  </si>
  <si>
    <t>Km.godtgørelse, lav sats (skattefri), antal km:</t>
  </si>
  <si>
    <t>Km.godtgørelse, høj sats (skattefri), antal km:</t>
  </si>
  <si>
    <t>km-
tak-ster</t>
  </si>
  <si>
    <t>Timedagpenge (skattefri), beregn selv!</t>
  </si>
  <si>
    <t>Timetakst vedr 25, og 50% mv.</t>
  </si>
  <si>
    <t>Timetakst vedr 25, og 50% mv., pensionstillæg</t>
  </si>
  <si>
    <t>SKOLENS STEDTILLÆGSOMRÅDE:</t>
  </si>
  <si>
    <t>ÅRLIGT UNDERVISNINGSTIMETAL:</t>
  </si>
  <si>
    <t>Linier i spec-arket, der afhænger af BG.</t>
  </si>
  <si>
    <t>Andre engangsudbetalinger iflg. specifikation</t>
  </si>
  <si>
    <t>Skattefri km.godtgørelse, lav sats</t>
  </si>
  <si>
    <t>Skattefri km.godtgørelse, høj sats</t>
  </si>
  <si>
    <t>Skattefri time/dagpenge</t>
  </si>
  <si>
    <t>Skattefri jubilæumsgratiale</t>
  </si>
  <si>
    <t>25%-tillæg</t>
  </si>
  <si>
    <t>50%-tillæg</t>
  </si>
  <si>
    <t>Flydende tillæg (spec.uv.)</t>
  </si>
  <si>
    <t>25%-tillæg *)</t>
  </si>
  <si>
    <t>50%-tillæg *)</t>
  </si>
  <si>
    <t>LØNTRIN og PENSIONSORDNING:</t>
  </si>
  <si>
    <t>Pensg. løn i alt</t>
  </si>
  <si>
    <t>18% pensionsgrundlag</t>
  </si>
  <si>
    <t>SUPPLERENDE PENSION PÅ 18% FOR ANSATTE MED TJENESTEMANDSPENSION</t>
  </si>
  <si>
    <t>Ansatte med tjenestemandspension har mulighed for at få supplerende pension af nylønstillæg på 17,3% af tillægget, hvis det er aftalt og indskrevet i nylønsformularerne. (Under alle omstændigheder får man supplerende pension af evt. souscheftillæg, udligningstillæg, trin 4-tillæg og OK13-tillæg.)
Hvis den samlede pensionsgivende løn overstiger den pensionsgivende løn på skalatrin 33 for bhkl.ledere og skalatrin 42 for lærere (x beskæftigelsesgraden), får man under alle omstændigheder 18% supplerende pension i LP af den del af den samlede pensionsgivende løn, der overstiger hhv. skalatrin 33 eller 42, også selv om der ikke er aftalt supplerende pension.</t>
  </si>
  <si>
    <t>Supplerende pensionstillæg på 18% **)</t>
  </si>
  <si>
    <t>PENSIONSORDNING:</t>
  </si>
  <si>
    <t>Pensg. løn skalatrin 33 eller 42</t>
  </si>
  <si>
    <t>E40</t>
  </si>
  <si>
    <t>opr.beregn.</t>
  </si>
  <si>
    <t>NEJ</t>
  </si>
  <si>
    <t>Særlig feriegodtgørelse (Ferietillæg) 1,5%</t>
  </si>
  <si>
    <t>Basislønsatserne er rettet til pr. 1. okt 2006 og igen 30. maj 2013 og 1. aug 2013</t>
  </si>
  <si>
    <t>Stilling</t>
  </si>
  <si>
    <t>Pension</t>
  </si>
  <si>
    <t>E24</t>
  </si>
  <si>
    <t>E25</t>
  </si>
  <si>
    <t>E27</t>
  </si>
  <si>
    <t>E30</t>
  </si>
  <si>
    <t>E31</t>
  </si>
  <si>
    <t>E32</t>
  </si>
  <si>
    <t>E33</t>
  </si>
  <si>
    <t>E35</t>
  </si>
  <si>
    <t>E36</t>
  </si>
  <si>
    <t>E37</t>
  </si>
  <si>
    <t>E38</t>
  </si>
  <si>
    <t>E42</t>
  </si>
  <si>
    <t>P24</t>
  </si>
  <si>
    <t>P25</t>
  </si>
  <si>
    <t>P27</t>
  </si>
  <si>
    <t>P30</t>
  </si>
  <si>
    <t>P31</t>
  </si>
  <si>
    <t>P32</t>
  </si>
  <si>
    <t>P33</t>
  </si>
  <si>
    <t>P35</t>
  </si>
  <si>
    <t>P36</t>
  </si>
  <si>
    <t>P37</t>
  </si>
  <si>
    <t>P38</t>
  </si>
  <si>
    <t>P40</t>
  </si>
  <si>
    <t>P42</t>
  </si>
  <si>
    <t>Souschef</t>
  </si>
  <si>
    <t>SupplPension</t>
  </si>
  <si>
    <t>Param</t>
  </si>
  <si>
    <t>JubGrat</t>
  </si>
  <si>
    <t>Se pjecen "Ferievejledning 2014"</t>
  </si>
  <si>
    <t>I juli eller ved fratræden. Se pjecen "Ferievejledning 2014"</t>
  </si>
  <si>
    <t>G</t>
  </si>
  <si>
    <t>H</t>
  </si>
  <si>
    <t>I</t>
  </si>
  <si>
    <t>J</t>
  </si>
  <si>
    <t>K</t>
  </si>
  <si>
    <t>M</t>
  </si>
  <si>
    <t>N</t>
  </si>
  <si>
    <t>O</t>
  </si>
  <si>
    <t>P</t>
  </si>
  <si>
    <t xml:space="preserve">Der er indsat et eksempel, som er fordelt på fem skoleår: 2009/10 til 2013/14 for at tydeliggøre sammenhængen. Ellers er beregningerne kun til brug for skoleåret 2014/15. Eksemplerne ligger som de sidste ark.
</t>
  </si>
  <si>
    <r>
      <t xml:space="preserve">Tast kun i gule felter! (Medmindre, du virkelig ved, hvad du gør. Arkbeskyttelsen skal dog først ophæves)
Alle indtastninger i gule felter kan/bør overskrives!
Langt de fleste oplysninger kan indskrives i august-kolonnen, hvorefter de kopieres automatisk til de øvrige måneder.
Tal angivet med </t>
    </r>
    <r>
      <rPr>
        <sz val="10"/>
        <color indexed="12"/>
        <rFont val="Arial"/>
        <family val="2"/>
      </rPr>
      <t>blå</t>
    </r>
    <r>
      <rPr>
        <sz val="10"/>
        <rFont val="Arial"/>
        <family val="2"/>
      </rPr>
      <t xml:space="preserve"> skrift i gule felter indeholder formler, der </t>
    </r>
    <r>
      <rPr>
        <i/>
        <sz val="10"/>
        <rFont val="Arial"/>
        <family val="2"/>
      </rPr>
      <t>kan</t>
    </r>
    <r>
      <rPr>
        <sz val="10"/>
        <rFont val="Arial"/>
        <family val="2"/>
      </rPr>
      <t xml:space="preserve"> overskrives.
Tal med sort skrift i gule felter skal normalt altid overskrives.</t>
    </r>
  </si>
  <si>
    <t>Der er 6 linier til faste nylønstillæg. Skriv det årlige grundbeløb fra aftaleformularen. Ordene 'funktion' og 'kvalifikation' er vejledende og skal ikke tages bogstaveligt!
Tillæg, der ikke er afhængieg af beskæftigelsesgraden vil normalt være funktionstillæg.
Tillæg, der er afhængige af beskæftigelsesgraden ers normalt kvalifikationstillæg. 
Trin 4-tillæg og udligningstillæg er altid afhængige af BG.
Der kan ikke gives udligningstillæg samtidig med et trin 4-tillæg.
Se i øvrigt arket: 'Nylønstillæg'!</t>
  </si>
  <si>
    <r>
      <t xml:space="preserve">Løn i ferieperioder (i Ferielovens forstand) beregnes både mht. fradrag for ikke optjent ferie og feriediffernce, fsv. der er ændret beskæftigelsesgrad, beregnes automatisk, når ferieafviklingsplan, ikke løngivende feriedage og gennemsnitlig BG i foregående kalenderår er indtastet i lin. 21-24. 
Feriepenge ved fratræden beregnes </t>
    </r>
    <r>
      <rPr>
        <b/>
        <sz val="10"/>
        <rFont val="Arial"/>
        <family val="2"/>
      </rPr>
      <t>ikke</t>
    </r>
    <r>
      <rPr>
        <sz val="10"/>
        <rFont val="Arial"/>
        <family val="2"/>
      </rPr>
      <t xml:space="preserve"> automatisk, men beregningsgrundlaget kan delvis ses i lin. 104 og 105</t>
    </r>
  </si>
  <si>
    <t>Hvis der er yderligere spørgsmål eller kommentarer, kontakt:</t>
    <phoneticPr fontId="19" type="noConversion"/>
  </si>
  <si>
    <t>24/4/14: Flere mindre rettelser</t>
  </si>
  <si>
    <t>2013/14</t>
  </si>
  <si>
    <t>se i løntabel for april 2015, når den udkommer</t>
  </si>
  <si>
    <t>1,5% af beregningsgrundlaget for 2014</t>
  </si>
  <si>
    <t>Gennemsnitlig BG i 2014</t>
  </si>
  <si>
    <t>Feriepengeberegningsgrundlag, jan-dec 14</t>
  </si>
  <si>
    <t>Feriepengeberegningsgrundlag, jan-jul 15</t>
  </si>
  <si>
    <t>Start med at udfylde linie 95 og 105 i denne kolonne!</t>
  </si>
  <si>
    <t>Antal weekendtimer til udbetaling (100%)</t>
  </si>
  <si>
    <t>aftentillæg efter kl 17 (indtil kl 06)</t>
  </si>
  <si>
    <t>Weekendtillæg, kan i stedet afspadseres</t>
  </si>
  <si>
    <t>Weekendtimer til udbetaling</t>
  </si>
  <si>
    <t>Weekendtimer til udbetaling (ekskl. tillæg)</t>
  </si>
  <si>
    <t>Overarbejds-/mererarbejdsbetaling</t>
  </si>
  <si>
    <t>Weekendtimer</t>
  </si>
  <si>
    <t>Beregningsgrundlag af feriediff. for pension</t>
  </si>
  <si>
    <t>Start med at udfylde linie 96 og 106 i denne kolonne!</t>
  </si>
  <si>
    <t>Løn- og pensionsfradrag beregnes i lin 62 og 87</t>
  </si>
  <si>
    <t>Indtast først A96 og A106, hvis den ansatte var ansat før indeværende skoleår.
Indtast derefter i kolonne G (AUG). Alle måneder efter august får samme værdi som i august, medmindre du manuelt sætter et andet tal ind. I så fald angiv, at du har rettet ved at vælge en anden baggrundsfarve. Ved ansættelse senere end august, indtastes alligevel generelle data i august måned. Se Ex09_10.</t>
  </si>
  <si>
    <t>Beregningen kan benyttes af ansatte med plusløn, men IKKE ansatte med løbende overtid.
Ved løbende overtid skrives 1,0000 i lin. 8 og overtidsbetalingen i lin. 36.</t>
  </si>
  <si>
    <t>Ved beregning af uv.tillæg for en person, der ikke er ansat et helt skoleår, skal undervisningstimetallet omregnes til årsbasis (lin 10) ved fx at gange med årets arbejdsdage (=227 for 2013/14) og dividere med ansættelsesperiodens antal arbejdsdage.
Specifikation af uv.tillæg står i lin. 110 til 113.</t>
  </si>
  <si>
    <t>Ved kombinationsbeskæftigede bhkl.leder og lærer skal der udarbejdes to lønberegninger. Det samlede undervisningstimetal skal anføres i hovedstillingen. Ulempegodtgørelse (lin 59), gruppelivstillæg (lin 61) og ATP (lin 100) skal beregnes på hovedstillingen, idet der tages hensyn til den samlede beskæftigelsesgrad. Det er nødvendigt, at ændre formlerne i lin 59, 61 og 100 til 0 i bistillingen efter først at have fjernet arkbeskyttelsen.</t>
  </si>
  <si>
    <t>Særlig feriegodtgørelse eller ferietillæg (lin 38) udbetales senest forud for den måned hovedferien begynder. Hovedferien falder for alle i juli, hvis anbefalet ferieplan følges. Fo(r forudlønnede skal ferietillægget altså senest udbetales med julilønnen og for bagudlønnede med junilønnen. For at tvinge regnearket til at i en tidligere måned fx maj) skrives et tal i lin 21, planlagte feriedage. Skriv fx 0,00000001, så flyttes beregningen af ferietillæg uden at påvirke evt. feriefradrag mv. (Det ER gjort som standard)</t>
  </si>
  <si>
    <t>fx: A (OBS: Brug IKKE mellemrum i arkfanenavne!)</t>
  </si>
  <si>
    <t>Hvis fanebladsnavnene er omdøbt, skal de gule felter i linie 1 ligeledes omdøbes manuelt. Det forudsættes at arknavnet i kolonne D er reelt eksisterende, da ledeteksterne i kolonne C tages herfra.  (OBS: Brug IKKE mellemrum i arkfanenavne!)</t>
  </si>
  <si>
    <t>fx: A  (OBS: Brug IKKE mellemrum i arkfanenavne!)</t>
  </si>
  <si>
    <r>
      <t>Lønberegning for:</t>
    </r>
    <r>
      <rPr>
        <sz val="9"/>
        <rFont val="Helvetica"/>
      </rPr>
      <t xml:space="preserve"> (navn eller initialer)</t>
    </r>
    <r>
      <rPr>
        <b/>
        <sz val="12"/>
        <rFont val="Helvetica"/>
      </rPr>
      <t xml:space="preserve">
</t>
    </r>
    <r>
      <rPr>
        <sz val="9"/>
        <rFont val="Helvetica"/>
      </rPr>
      <t xml:space="preserve"> - variable løndele i lin. 28-43.</t>
    </r>
  </si>
  <si>
    <t>Udbetales senest forud for  den måned hovedferien begynder.</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</si>
</sst>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 _k_r_-;\-* #,##0.00\ _k_r_-;_-* &quot;-&quot;??\ _k_r_-;_-@_-"/>
    <numFmt numFmtId="164" formatCode="_(* #,##0_);_(* \(#,##0\);_(* &quot;-&quot;_);_(@_)"/>
    <numFmt numFmtId="165" formatCode="_(* #,##0.00_);_(* \(#,##0.00\);_(* &quot;-&quot;??_);_(@_)"/>
    <numFmt numFmtId="166" formatCode="_-&quot;kr.&quot;* #,##0_-;\-&quot;kr.&quot;* #,##0_-;_-&quot;kr.&quot;* &quot;-&quot;_-;_-@_-"/>
    <numFmt numFmtId="167" formatCode="_-&quot;kr.&quot;* #,##0.00_-;\-&quot;kr.&quot;* #,##0.00_-;_-&quot;kr.&quot;* &quot;-&quot;??_-;_-@_-"/>
    <numFmt numFmtId="168" formatCode="#,##0.00&quot;kr.&quot;;\-#,##0.00&quot;kr.&quot;"/>
    <numFmt numFmtId="169" formatCode="_-* #,##0.00_k_r_._-;\-* #,##0.00_k_r_._-;_-* &quot;-&quot;??_k_r_._-;_-@_-"/>
    <numFmt numFmtId="170" formatCode="#,##0.0"/>
    <numFmt numFmtId="171" formatCode="#,##0.0000"/>
    <numFmt numFmtId="172" formatCode="0.0%"/>
    <numFmt numFmtId="173" formatCode="000\-000"/>
    <numFmt numFmtId="174" formatCode="#,##0.000000"/>
    <numFmt numFmtId="175" formatCode="d\.\ mmm\.\ yyyy"/>
    <numFmt numFmtId="176" formatCode="??/??"/>
    <numFmt numFmtId="177" formatCode="#0/#0"/>
    <numFmt numFmtId="178" formatCode="0.0000"/>
    <numFmt numFmtId="179" formatCode="#0/30"/>
    <numFmt numFmtId="180" formatCode="##/##"/>
    <numFmt numFmtId="181" formatCode="#,##0.00_ ;\-#,##0.00\ "/>
  </numFmts>
  <fonts count="71" x14ac:knownFonts="1">
    <font>
      <sz val="10"/>
      <name val="Geneva"/>
    </font>
    <font>
      <sz val="10"/>
      <name val="Helvetica"/>
    </font>
    <font>
      <sz val="12"/>
      <name val="Arial"/>
      <family val="2"/>
    </font>
    <font>
      <sz val="12"/>
      <name val="Helvetica"/>
    </font>
    <font>
      <sz val="14"/>
      <name val="Helvetica"/>
    </font>
    <font>
      <sz val="9"/>
      <name val="Helvetica"/>
    </font>
    <font>
      <sz val="12"/>
      <name val="Chicago"/>
      <family val="2"/>
    </font>
    <font>
      <sz val="10"/>
      <name val="Courier"/>
      <family val="3"/>
    </font>
    <font>
      <b/>
      <sz val="10"/>
      <name val="Courier"/>
    </font>
    <font>
      <sz val="10"/>
      <name val="Arial"/>
      <family val="2"/>
    </font>
    <font>
      <sz val="8"/>
      <name val="Geneva"/>
    </font>
    <font>
      <b/>
      <sz val="10"/>
      <name val="Helvetica"/>
    </font>
    <font>
      <sz val="10"/>
      <color indexed="16"/>
      <name val="Helvetica"/>
    </font>
    <font>
      <b/>
      <sz val="12"/>
      <name val="Arial"/>
      <family val="2"/>
    </font>
    <font>
      <b/>
      <sz val="12"/>
      <name val="Courier"/>
      <family val="3"/>
    </font>
    <font>
      <sz val="9"/>
      <name val="Arial"/>
      <family val="2"/>
    </font>
    <font>
      <b/>
      <sz val="14"/>
      <name val="Helvetica"/>
    </font>
    <font>
      <b/>
      <sz val="10"/>
      <color indexed="12"/>
      <name val="Helvetica"/>
    </font>
    <font>
      <b/>
      <sz val="12"/>
      <name val="Helvetica"/>
    </font>
    <font>
      <sz val="8"/>
      <name val="Verdana"/>
      <family val="2"/>
    </font>
    <font>
      <i/>
      <sz val="10"/>
      <name val="Helvetica"/>
    </font>
    <font>
      <i/>
      <sz val="10"/>
      <name val="Courier"/>
      <family val="3"/>
    </font>
    <font>
      <u/>
      <sz val="10"/>
      <color indexed="12"/>
      <name val="Geneva"/>
      <family val="2"/>
    </font>
    <font>
      <sz val="8"/>
      <name val="Helvetica"/>
    </font>
    <font>
      <b/>
      <sz val="10"/>
      <name val="Arial"/>
      <family val="2"/>
    </font>
    <font>
      <sz val="8"/>
      <name val="Arial"/>
    </font>
    <font>
      <u/>
      <sz val="10"/>
      <color indexed="12"/>
      <name val="Arial"/>
    </font>
    <font>
      <b/>
      <sz val="10"/>
      <color indexed="10"/>
      <name val="Arial"/>
    </font>
    <font>
      <sz val="10"/>
      <color indexed="9"/>
      <name val="Courier"/>
    </font>
    <font>
      <sz val="8"/>
      <color indexed="9"/>
      <name val="Courier"/>
    </font>
    <font>
      <b/>
      <i/>
      <sz val="10"/>
      <name val="Courier"/>
    </font>
    <font>
      <b/>
      <i/>
      <sz val="10"/>
      <name val="Helvetica"/>
    </font>
    <font>
      <i/>
      <sz val="9"/>
      <name val="Helvetica"/>
    </font>
    <font>
      <b/>
      <sz val="9"/>
      <name val="Courier"/>
    </font>
    <font>
      <b/>
      <sz val="10"/>
      <color indexed="18"/>
      <name val="Courier"/>
    </font>
    <font>
      <sz val="10"/>
      <color indexed="18"/>
      <name val="Helvetica"/>
    </font>
    <font>
      <sz val="10"/>
      <color indexed="18"/>
      <name val="Courier"/>
    </font>
    <font>
      <sz val="10"/>
      <color indexed="10"/>
      <name val="Helvetica"/>
    </font>
    <font>
      <sz val="10"/>
      <color indexed="12"/>
      <name val="Arial"/>
      <family val="2"/>
    </font>
    <font>
      <i/>
      <sz val="10"/>
      <name val="Arial"/>
      <family val="2"/>
    </font>
    <font>
      <b/>
      <sz val="10"/>
      <color indexed="10"/>
      <name val="Geneva"/>
    </font>
    <font>
      <b/>
      <sz val="10"/>
      <color indexed="12"/>
      <name val="Courier"/>
    </font>
    <font>
      <sz val="10"/>
      <color indexed="12"/>
      <name val="Helvetica"/>
    </font>
    <font>
      <b/>
      <sz val="11"/>
      <name val="Arial"/>
      <family val="2"/>
    </font>
    <font>
      <sz val="11"/>
      <name val="Arial"/>
      <family val="2"/>
    </font>
    <font>
      <sz val="12"/>
      <name val="Geneva"/>
    </font>
    <font>
      <sz val="10"/>
      <color theme="0" tint="-0.14999847407452621"/>
      <name val="Geneva"/>
    </font>
    <font>
      <sz val="10"/>
      <color theme="0" tint="-0.34998626667073579"/>
      <name val="Arial"/>
    </font>
    <font>
      <sz val="10"/>
      <color theme="0" tint="-0.14999847407452621"/>
      <name val="Arial"/>
    </font>
    <font>
      <sz val="10"/>
      <color rgb="FF0000FF"/>
      <name val="Arial"/>
    </font>
    <font>
      <b/>
      <sz val="10"/>
      <color rgb="FFFF0000"/>
      <name val="Helvetica"/>
    </font>
    <font>
      <sz val="10"/>
      <name val="Geneva"/>
    </font>
    <font>
      <u/>
      <sz val="10"/>
      <color theme="11"/>
      <name val="Geneva"/>
    </font>
    <font>
      <sz val="12"/>
      <color rgb="FF3366FF"/>
      <name val="Helvetica"/>
    </font>
    <font>
      <i/>
      <sz val="12"/>
      <name val="Helvetica"/>
    </font>
    <font>
      <b/>
      <i/>
      <sz val="12"/>
      <name val="Helvetica"/>
    </font>
    <font>
      <b/>
      <sz val="12"/>
      <color rgb="FFFF0000"/>
      <name val="Helvetica"/>
    </font>
    <font>
      <sz val="12"/>
      <color rgb="FFFF0000"/>
      <name val="Helvetica"/>
    </font>
    <font>
      <b/>
      <sz val="9"/>
      <color rgb="FFFF0000"/>
      <name val="Courier"/>
    </font>
    <font>
      <b/>
      <sz val="11"/>
      <name val="Helvetica"/>
    </font>
    <font>
      <sz val="10"/>
      <color theme="0" tint="-0.249977111117893"/>
      <name val="Helvetica"/>
    </font>
    <font>
      <b/>
      <sz val="9"/>
      <color indexed="81"/>
      <name val="Geneva"/>
    </font>
    <font>
      <sz val="9"/>
      <color indexed="81"/>
      <name val="Geneva"/>
    </font>
    <font>
      <sz val="10"/>
      <color theme="0"/>
      <name val="Arial"/>
    </font>
    <font>
      <b/>
      <sz val="11"/>
      <color theme="1"/>
      <name val="Arial"/>
    </font>
    <font>
      <sz val="10"/>
      <color theme="0" tint="-0.14999847407452621"/>
      <name val="Helvetica"/>
    </font>
    <font>
      <sz val="10"/>
      <color theme="0" tint="-0.14999847407452621"/>
      <name val="Courier"/>
      <family val="3"/>
    </font>
    <font>
      <sz val="10"/>
      <color theme="0" tint="-0.249977111117893"/>
      <name val="Courier"/>
      <family val="3"/>
    </font>
    <font>
      <b/>
      <sz val="10"/>
      <color theme="0" tint="-0.249977111117893"/>
      <name val="Helvetica"/>
    </font>
    <font>
      <i/>
      <sz val="10"/>
      <color theme="0" tint="-0.249977111117893"/>
      <name val="Helvetica"/>
    </font>
    <font>
      <sz val="10"/>
      <color theme="0" tint="-4.9989318521683403E-2"/>
      <name val="Courier"/>
    </font>
  </fonts>
  <fills count="21">
    <fill>
      <patternFill patternType="none"/>
    </fill>
    <fill>
      <patternFill patternType="gray125"/>
    </fill>
    <fill>
      <patternFill patternType="gray0625"/>
    </fill>
    <fill>
      <patternFill patternType="lightGray"/>
    </fill>
    <fill>
      <patternFill patternType="solid">
        <fgColor indexed="43"/>
        <bgColor indexed="64"/>
      </patternFill>
    </fill>
    <fill>
      <patternFill patternType="solid">
        <fgColor indexed="63"/>
        <bgColor indexed="64"/>
      </patternFill>
    </fill>
    <fill>
      <patternFill patternType="solid">
        <fgColor indexed="4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4.9989318521683403E-2"/>
        <bgColor indexed="64"/>
      </patternFill>
    </fill>
  </fills>
  <borders count="85">
    <border>
      <left/>
      <right/>
      <top/>
      <bottom/>
      <diagonal/>
    </border>
    <border>
      <left/>
      <right style="hair">
        <color auto="1"/>
      </right>
      <top style="thin">
        <color auto="1"/>
      </top>
      <bottom style="thin">
        <color auto="1"/>
      </bottom>
      <diagonal/>
    </border>
    <border>
      <left/>
      <right/>
      <top style="medium">
        <color auto="1"/>
      </top>
      <bottom style="thin">
        <color auto="1"/>
      </bottom>
      <diagonal/>
    </border>
    <border>
      <left/>
      <right/>
      <top/>
      <bottom style="hair">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thin">
        <color auto="1"/>
      </right>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auto="1"/>
      </right>
      <top/>
      <bottom/>
      <diagonal/>
    </border>
    <border>
      <left style="thin">
        <color auto="1"/>
      </left>
      <right style="hair">
        <color auto="1"/>
      </right>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bottom style="thin">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style="thin">
        <color auto="1"/>
      </right>
      <top style="hair">
        <color auto="1"/>
      </top>
      <bottom style="hair">
        <color auto="1"/>
      </bottom>
      <diagonal/>
    </border>
    <border>
      <left style="hair">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diagonal/>
    </border>
    <border>
      <left style="hair">
        <color auto="1"/>
      </left>
      <right style="hair">
        <color auto="1"/>
      </right>
      <top style="thin">
        <color auto="1"/>
      </top>
      <bottom style="hair">
        <color auto="1"/>
      </bottom>
      <diagonal/>
    </border>
    <border>
      <left/>
      <right/>
      <top style="thin">
        <color auto="1"/>
      </top>
      <bottom style="thin">
        <color auto="1"/>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right/>
      <top style="thin">
        <color auto="1"/>
      </top>
      <bottom style="hair">
        <color auto="1"/>
      </bottom>
      <diagonal/>
    </border>
    <border>
      <left style="hair">
        <color auto="1"/>
      </left>
      <right/>
      <top style="thin">
        <color auto="1"/>
      </top>
      <bottom style="hair">
        <color auto="1"/>
      </bottom>
      <diagonal/>
    </border>
    <border>
      <left style="hair">
        <color auto="1"/>
      </left>
      <right/>
      <top style="hair">
        <color auto="1"/>
      </top>
      <bottom/>
      <diagonal/>
    </border>
    <border>
      <left/>
      <right/>
      <top style="thick">
        <color auto="1"/>
      </top>
      <bottom/>
      <diagonal/>
    </border>
    <border>
      <left/>
      <right/>
      <top style="thick">
        <color auto="1"/>
      </top>
      <bottom style="hair">
        <color auto="1"/>
      </bottom>
      <diagonal/>
    </border>
    <border>
      <left/>
      <right style="hair">
        <color auto="1"/>
      </right>
      <top style="thin">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style="hair">
        <color auto="1"/>
      </left>
      <right style="hair">
        <color auto="1"/>
      </right>
      <top style="thick">
        <color auto="1"/>
      </top>
      <bottom style="hair">
        <color auto="1"/>
      </bottom>
      <diagonal/>
    </border>
    <border>
      <left/>
      <right/>
      <top style="thin">
        <color auto="1"/>
      </top>
      <bottom style="thick">
        <color auto="1"/>
      </bottom>
      <diagonal/>
    </border>
    <border>
      <left style="hair">
        <color auto="1"/>
      </left>
      <right style="hair">
        <color auto="1"/>
      </right>
      <top style="thin">
        <color auto="1"/>
      </top>
      <bottom style="thick">
        <color auto="1"/>
      </bottom>
      <diagonal/>
    </border>
    <border>
      <left/>
      <right/>
      <top style="hair">
        <color auto="1"/>
      </top>
      <bottom/>
      <diagonal/>
    </border>
    <border>
      <left style="thin">
        <color auto="1"/>
      </left>
      <right/>
      <top style="hair">
        <color auto="1"/>
      </top>
      <bottom style="thin">
        <color auto="1"/>
      </bottom>
      <diagonal/>
    </border>
    <border>
      <left style="thin">
        <color auto="1"/>
      </left>
      <right/>
      <top style="thin">
        <color auto="1"/>
      </top>
      <bottom style="hair">
        <color auto="1"/>
      </bottom>
      <diagonal/>
    </border>
    <border>
      <left/>
      <right/>
      <top style="hair">
        <color auto="1"/>
      </top>
      <bottom style="thin">
        <color auto="1"/>
      </bottom>
      <diagonal/>
    </border>
    <border>
      <left/>
      <right style="thin">
        <color auto="1"/>
      </right>
      <top/>
      <bottom style="thin">
        <color auto="1"/>
      </bottom>
      <diagonal/>
    </border>
    <border>
      <left/>
      <right style="thin">
        <color auto="1"/>
      </right>
      <top style="hair">
        <color auto="1"/>
      </top>
      <bottom style="thin">
        <color auto="1"/>
      </bottom>
      <diagonal/>
    </border>
    <border>
      <left/>
      <right style="hair">
        <color auto="1"/>
      </right>
      <top/>
      <bottom style="hair">
        <color auto="1"/>
      </bottom>
      <diagonal/>
    </border>
    <border>
      <left/>
      <right style="hair">
        <color auto="1"/>
      </right>
      <top style="hair">
        <color auto="1"/>
      </top>
      <bottom style="thin">
        <color auto="1"/>
      </bottom>
      <diagonal/>
    </border>
    <border>
      <left/>
      <right style="hair">
        <color auto="1"/>
      </right>
      <top style="hair">
        <color auto="1"/>
      </top>
      <bottom/>
      <diagonal/>
    </border>
    <border>
      <left/>
      <right style="hair">
        <color auto="1"/>
      </right>
      <top style="thin">
        <color auto="1"/>
      </top>
      <bottom style="thick">
        <color auto="1"/>
      </bottom>
      <diagonal/>
    </border>
    <border>
      <left/>
      <right style="hair">
        <color auto="1"/>
      </right>
      <top style="thick">
        <color auto="1"/>
      </top>
      <bottom style="hair">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top style="thin">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hair">
        <color auto="1"/>
      </left>
      <right style="hair">
        <color auto="1"/>
      </right>
      <top style="hair">
        <color auto="1"/>
      </top>
      <bottom style="medium">
        <color auto="1"/>
      </bottom>
      <diagonal/>
    </border>
    <border>
      <left style="medium">
        <color auto="1"/>
      </left>
      <right style="hair">
        <color auto="1"/>
      </right>
      <top style="medium">
        <color auto="1"/>
      </top>
      <bottom/>
      <diagonal/>
    </border>
    <border>
      <left style="medium">
        <color auto="1"/>
      </left>
      <right style="hair">
        <color auto="1"/>
      </right>
      <top/>
      <bottom/>
      <diagonal/>
    </border>
    <border>
      <left style="medium">
        <color auto="1"/>
      </left>
      <right style="hair">
        <color auto="1"/>
      </right>
      <top/>
      <bottom style="medium">
        <color auto="1"/>
      </bottom>
      <diagonal/>
    </border>
    <border>
      <left/>
      <right style="medium">
        <color auto="1"/>
      </right>
      <top style="thin">
        <color auto="1"/>
      </top>
      <bottom style="hair">
        <color auto="1"/>
      </bottom>
      <diagonal/>
    </border>
    <border>
      <left/>
      <right style="medium">
        <color auto="1"/>
      </right>
      <top style="hair">
        <color auto="1"/>
      </top>
      <bottom style="medium">
        <color auto="1"/>
      </bottom>
      <diagonal/>
    </border>
    <border>
      <left/>
      <right/>
      <top style="thin">
        <color auto="1"/>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hair">
        <color auto="1"/>
      </left>
      <right style="hair">
        <color auto="1"/>
      </right>
      <top/>
      <bottom style="medium">
        <color auto="1"/>
      </bottom>
      <diagonal/>
    </border>
  </borders>
  <cellStyleXfs count="133">
    <xf numFmtId="0" fontId="0" fillId="0" borderId="0"/>
    <xf numFmtId="165" fontId="2" fillId="0" borderId="0" applyFon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6" fillId="0" borderId="1" applyNumberFormat="0" applyFill="0" applyBorder="0" applyProtection="0">
      <alignment horizontal="center"/>
    </xf>
    <xf numFmtId="164" fontId="3" fillId="0" borderId="0" applyFont="0" applyFill="0" applyBorder="0" applyAlignment="0" applyProtection="0"/>
    <xf numFmtId="165" fontId="3" fillId="0" borderId="0" applyFont="0" applyFill="0" applyBorder="0" applyAlignment="0" applyProtection="0"/>
    <xf numFmtId="169" fontId="1" fillId="0" borderId="0" applyFont="0" applyFill="0" applyBorder="0" applyAlignment="0" applyProtection="0"/>
    <xf numFmtId="3" fontId="7" fillId="2" borderId="2" applyFill="0" applyBorder="0" applyAlignment="0">
      <alignment horizontal="center"/>
    </xf>
    <xf numFmtId="166" fontId="3" fillId="0" borderId="0" applyFont="0" applyFill="0" applyBorder="0" applyAlignment="0" applyProtection="0"/>
    <xf numFmtId="167" fontId="3" fillId="0" borderId="0" applyFont="0" applyFill="0" applyBorder="0" applyAlignment="0" applyProtection="0"/>
    <xf numFmtId="0" fontId="22" fillId="0" borderId="0" applyNumberFormat="0" applyFill="0" applyBorder="0" applyAlignment="0" applyProtection="0">
      <alignment vertical="top"/>
      <protection locked="0"/>
    </xf>
    <xf numFmtId="3" fontId="1" fillId="0" borderId="0" applyFont="0" applyFill="0" applyBorder="0" applyAlignment="0" applyProtection="0"/>
    <xf numFmtId="170" fontId="1" fillId="0" borderId="0" applyFont="0" applyFill="0" applyBorder="0" applyAlignment="0" applyProtection="0"/>
    <xf numFmtId="4" fontId="1" fillId="0" borderId="0" applyFont="0" applyFill="0" applyBorder="0" applyAlignment="0" applyProtection="0"/>
    <xf numFmtId="171" fontId="1" fillId="0" borderId="0" applyFont="0" applyFill="0" applyBorder="0" applyAlignment="0" applyProtection="0"/>
    <xf numFmtId="168" fontId="1" fillId="0" borderId="0" applyFont="0" applyFill="0" applyBorder="0" applyAlignment="0" applyProtection="0"/>
    <xf numFmtId="0" fontId="2" fillId="0" borderId="0"/>
    <xf numFmtId="0" fontId="1" fillId="0" borderId="0"/>
    <xf numFmtId="0" fontId="2" fillId="0" borderId="0"/>
    <xf numFmtId="9" fontId="1" fillId="0" borderId="0" applyFont="0" applyFill="0" applyBorder="0" applyAlignment="0" applyProtection="0"/>
    <xf numFmtId="172" fontId="1" fillId="0" borderId="0" applyFont="0" applyFill="0" applyBorder="0" applyAlignment="0" applyProtection="0"/>
    <xf numFmtId="10" fontId="1" fillId="0" borderId="0" applyFont="0" applyFill="0" applyBorder="0" applyAlignment="0" applyProtection="0"/>
    <xf numFmtId="173" fontId="1" fillId="0" borderId="0" applyFont="0" applyFill="0" applyBorder="0" applyProtection="0">
      <alignment horizontal="center"/>
    </xf>
    <xf numFmtId="0" fontId="9" fillId="3" borderId="0" applyNumberFormat="0" applyFont="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1" fillId="0" borderId="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3" fontId="51"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cellStyleXfs>
  <cellXfs count="652">
    <xf numFmtId="0" fontId="0" fillId="0" borderId="0" xfId="0"/>
    <xf numFmtId="0" fontId="1" fillId="0" borderId="5" xfId="20" applyFont="1" applyBorder="1" applyAlignment="1">
      <alignment horizontal="center"/>
    </xf>
    <xf numFmtId="0" fontId="8" fillId="4" borderId="4" xfId="20" applyFont="1" applyFill="1" applyBorder="1" applyAlignment="1">
      <alignment horizontal="center"/>
    </xf>
    <xf numFmtId="0" fontId="1" fillId="0" borderId="0" xfId="20" applyNumberFormat="1" applyFont="1"/>
    <xf numFmtId="0" fontId="1" fillId="0" borderId="0" xfId="20" applyFont="1"/>
    <xf numFmtId="0" fontId="1" fillId="0" borderId="6" xfId="20" applyFont="1" applyBorder="1" applyAlignment="1">
      <alignment horizontal="center"/>
    </xf>
    <xf numFmtId="0" fontId="11" fillId="0" borderId="7" xfId="20" applyFont="1" applyBorder="1" applyAlignment="1">
      <alignment horizontal="left"/>
    </xf>
    <xf numFmtId="0" fontId="1" fillId="0" borderId="0" xfId="20" applyNumberFormat="1" applyFont="1" applyAlignment="1">
      <alignment wrapText="1"/>
    </xf>
    <xf numFmtId="0" fontId="1" fillId="0" borderId="7" xfId="20" applyFont="1" applyBorder="1" applyAlignment="1">
      <alignment horizontal="left"/>
    </xf>
    <xf numFmtId="4" fontId="1" fillId="0" borderId="4" xfId="9" applyNumberFormat="1" applyFont="1" applyBorder="1" applyAlignment="1">
      <alignment horizontal="right"/>
    </xf>
    <xf numFmtId="0" fontId="11" fillId="0" borderId="8" xfId="20" applyFont="1" applyBorder="1" applyAlignment="1">
      <alignment horizontal="left"/>
    </xf>
    <xf numFmtId="4" fontId="11" fillId="0" borderId="4" xfId="9" applyNumberFormat="1" applyFont="1" applyBorder="1" applyAlignment="1">
      <alignment horizontal="right"/>
    </xf>
    <xf numFmtId="0" fontId="1" fillId="0" borderId="8" xfId="20" applyFont="1" applyBorder="1" applyAlignment="1">
      <alignment horizontal="left"/>
    </xf>
    <xf numFmtId="0" fontId="1" fillId="0" borderId="0" xfId="9" applyNumberFormat="1" applyFont="1"/>
    <xf numFmtId="0" fontId="1" fillId="0" borderId="8" xfId="20" applyFont="1" applyBorder="1" applyAlignment="1">
      <alignment horizontal="left" wrapText="1"/>
    </xf>
    <xf numFmtId="4" fontId="1" fillId="4" borderId="9" xfId="9" applyNumberFormat="1" applyFont="1" applyFill="1" applyBorder="1" applyAlignment="1"/>
    <xf numFmtId="0" fontId="1" fillId="0" borderId="7" xfId="20" applyFont="1" applyBorder="1" applyAlignment="1">
      <alignment horizontal="left" wrapText="1"/>
    </xf>
    <xf numFmtId="4" fontId="1" fillId="4" borderId="10" xfId="9" applyNumberFormat="1" applyFont="1" applyFill="1" applyBorder="1" applyAlignment="1"/>
    <xf numFmtId="4" fontId="1" fillId="4" borderId="11" xfId="9" applyNumberFormat="1" applyFont="1" applyFill="1" applyBorder="1" applyAlignment="1"/>
    <xf numFmtId="4" fontId="1" fillId="0" borderId="4" xfId="9" applyNumberFormat="1" applyFont="1" applyBorder="1" applyAlignment="1"/>
    <xf numFmtId="4" fontId="1" fillId="4" borderId="4" xfId="9" applyNumberFormat="1" applyFont="1" applyFill="1" applyBorder="1" applyAlignment="1"/>
    <xf numFmtId="4" fontId="11" fillId="0" borderId="4" xfId="9" applyNumberFormat="1" applyFont="1" applyBorder="1" applyAlignment="1"/>
    <xf numFmtId="4" fontId="1" fillId="0" borderId="4" xfId="9" applyNumberFormat="1" applyFont="1" applyFill="1" applyBorder="1" applyAlignment="1"/>
    <xf numFmtId="0" fontId="1" fillId="0" borderId="0" xfId="20" applyFont="1" applyAlignment="1">
      <alignment horizontal="center"/>
    </xf>
    <xf numFmtId="0" fontId="12" fillId="0" borderId="0" xfId="20" applyFont="1"/>
    <xf numFmtId="0" fontId="7" fillId="0" borderId="0" xfId="20" applyFont="1"/>
    <xf numFmtId="0" fontId="13" fillId="0" borderId="12" xfId="21" applyFont="1" applyBorder="1" applyAlignment="1">
      <alignment horizontal="centerContinuous"/>
    </xf>
    <xf numFmtId="0" fontId="13" fillId="0" borderId="13" xfId="21" applyFont="1" applyBorder="1" applyAlignment="1">
      <alignment horizontal="centerContinuous"/>
    </xf>
    <xf numFmtId="0" fontId="13" fillId="0" borderId="14" xfId="21" applyFont="1" applyBorder="1" applyAlignment="1">
      <alignment horizontal="centerContinuous"/>
    </xf>
    <xf numFmtId="0" fontId="2" fillId="0" borderId="0" xfId="21" applyFont="1"/>
    <xf numFmtId="0" fontId="2" fillId="0" borderId="15" xfId="21" applyFont="1" applyBorder="1" applyAlignment="1">
      <alignment horizontal="center"/>
    </xf>
    <xf numFmtId="0" fontId="2" fillId="0" borderId="16" xfId="21" applyFont="1" applyBorder="1" applyAlignment="1">
      <alignment horizontal="left"/>
    </xf>
    <xf numFmtId="0" fontId="2" fillId="0" borderId="17" xfId="21" applyFont="1" applyBorder="1" applyAlignment="1">
      <alignment horizontal="left"/>
    </xf>
    <xf numFmtId="0" fontId="9" fillId="0" borderId="17" xfId="21" applyFont="1" applyBorder="1" applyAlignment="1">
      <alignment horizontal="left"/>
    </xf>
    <xf numFmtId="0" fontId="2" fillId="0" borderId="18" xfId="21" applyFont="1" applyBorder="1" applyAlignment="1">
      <alignment horizontal="left"/>
    </xf>
    <xf numFmtId="0" fontId="2" fillId="0" borderId="19" xfId="21" applyFont="1" applyBorder="1" applyAlignment="1">
      <alignment horizontal="center"/>
    </xf>
    <xf numFmtId="0" fontId="2" fillId="0" borderId="20" xfId="21" applyFont="1" applyBorder="1" applyAlignment="1">
      <alignment horizontal="center"/>
    </xf>
    <xf numFmtId="3" fontId="14" fillId="0" borderId="21" xfId="14" applyFont="1" applyBorder="1" applyAlignment="1">
      <alignment horizontal="center"/>
    </xf>
    <xf numFmtId="3" fontId="14" fillId="0" borderId="22" xfId="14" applyFont="1" applyBorder="1" applyAlignment="1">
      <alignment horizontal="center"/>
    </xf>
    <xf numFmtId="0" fontId="2" fillId="0" borderId="23" xfId="21" applyFont="1" applyBorder="1" applyAlignment="1">
      <alignment horizontal="center"/>
    </xf>
    <xf numFmtId="0" fontId="2" fillId="0" borderId="24" xfId="21" applyFont="1" applyBorder="1" applyAlignment="1">
      <alignment horizontal="center"/>
    </xf>
    <xf numFmtId="3" fontId="2" fillId="0" borderId="24" xfId="14" applyFont="1" applyBorder="1" applyAlignment="1">
      <alignment horizontal="center"/>
    </xf>
    <xf numFmtId="3" fontId="2" fillId="0" borderId="5" xfId="14" applyFont="1" applyBorder="1" applyAlignment="1">
      <alignment horizontal="center"/>
    </xf>
    <xf numFmtId="4" fontId="15" fillId="0" borderId="25" xfId="14" applyNumberFormat="1" applyFont="1" applyBorder="1" applyAlignment="1">
      <alignment horizontal="center"/>
    </xf>
    <xf numFmtId="0" fontId="2" fillId="0" borderId="21" xfId="21" applyFont="1" applyBorder="1" applyAlignment="1">
      <alignment horizontal="center"/>
    </xf>
    <xf numFmtId="3" fontId="2" fillId="0" borderId="21" xfId="14" applyFont="1" applyBorder="1" applyAlignment="1">
      <alignment horizontal="center"/>
    </xf>
    <xf numFmtId="3" fontId="2" fillId="0" borderId="22" xfId="14" applyFont="1" applyBorder="1" applyAlignment="1">
      <alignment horizontal="center"/>
    </xf>
    <xf numFmtId="4" fontId="15" fillId="0" borderId="26" xfId="14" applyNumberFormat="1" applyFont="1" applyBorder="1" applyAlignment="1">
      <alignment horizontal="center"/>
    </xf>
    <xf numFmtId="3" fontId="2" fillId="0" borderId="18" xfId="14" applyFont="1" applyBorder="1" applyAlignment="1">
      <alignment horizontal="center"/>
    </xf>
    <xf numFmtId="3" fontId="2" fillId="0" borderId="27" xfId="14" applyFont="1" applyBorder="1" applyAlignment="1">
      <alignment horizontal="center"/>
    </xf>
    <xf numFmtId="3" fontId="2" fillId="0" borderId="25" xfId="14" applyFont="1" applyBorder="1" applyAlignment="1">
      <alignment horizontal="center"/>
    </xf>
    <xf numFmtId="3" fontId="2" fillId="0" borderId="26" xfId="14" applyFont="1" applyBorder="1" applyAlignment="1">
      <alignment horizontal="center"/>
    </xf>
    <xf numFmtId="0" fontId="2" fillId="0" borderId="0" xfId="21"/>
    <xf numFmtId="0" fontId="16" fillId="0" borderId="0" xfId="21" applyFont="1"/>
    <xf numFmtId="0" fontId="2" fillId="0" borderId="27" xfId="21" applyFont="1" applyBorder="1" applyAlignment="1">
      <alignment horizontal="left"/>
    </xf>
    <xf numFmtId="0" fontId="2" fillId="0" borderId="0" xfId="21" applyFont="1" applyBorder="1" applyAlignment="1">
      <alignment horizontal="center"/>
    </xf>
    <xf numFmtId="3" fontId="14" fillId="0" borderId="26" xfId="14" applyFont="1" applyBorder="1" applyAlignment="1">
      <alignment horizontal="center"/>
    </xf>
    <xf numFmtId="0" fontId="2" fillId="0" borderId="28" xfId="21" applyFont="1" applyBorder="1" applyAlignment="1">
      <alignment horizontal="center"/>
    </xf>
    <xf numFmtId="0" fontId="11" fillId="0" borderId="29" xfId="20" applyFont="1" applyBorder="1" applyAlignment="1">
      <alignment horizontal="left"/>
    </xf>
    <xf numFmtId="4" fontId="11" fillId="0" borderId="30" xfId="9" applyNumberFormat="1" applyFont="1" applyFill="1" applyBorder="1" applyAlignment="1"/>
    <xf numFmtId="4" fontId="17" fillId="0" borderId="31" xfId="20" applyNumberFormat="1" applyFont="1" applyBorder="1" applyAlignment="1">
      <alignment horizontal="left"/>
    </xf>
    <xf numFmtId="3" fontId="2" fillId="0" borderId="32" xfId="14" applyFont="1" applyBorder="1" applyAlignment="1">
      <alignment horizontal="center"/>
    </xf>
    <xf numFmtId="3" fontId="2" fillId="0" borderId="10" xfId="14" applyFont="1" applyBorder="1" applyAlignment="1">
      <alignment horizontal="center"/>
    </xf>
    <xf numFmtId="3" fontId="2" fillId="0" borderId="33" xfId="14" applyFont="1" applyBorder="1" applyAlignment="1">
      <alignment horizontal="center"/>
    </xf>
    <xf numFmtId="0" fontId="18" fillId="0" borderId="27" xfId="20" applyFont="1" applyBorder="1" applyAlignment="1">
      <alignment wrapText="1"/>
    </xf>
    <xf numFmtId="0" fontId="1" fillId="0" borderId="19" xfId="20" applyFont="1" applyBorder="1" applyAlignment="1">
      <alignment horizontal="left"/>
    </xf>
    <xf numFmtId="4" fontId="1" fillId="0" borderId="34" xfId="9" applyNumberFormat="1" applyFont="1" applyFill="1" applyBorder="1" applyAlignment="1"/>
    <xf numFmtId="0" fontId="1" fillId="0" borderId="0" xfId="20" quotePrefix="1" applyNumberFormat="1" applyFont="1" applyAlignment="1">
      <alignment wrapText="1"/>
    </xf>
    <xf numFmtId="0" fontId="0" fillId="0" borderId="0" xfId="0" applyAlignment="1">
      <alignment wrapText="1"/>
    </xf>
    <xf numFmtId="0" fontId="0" fillId="0" borderId="0" xfId="0" applyAlignment="1">
      <alignment horizontal="center" vertical="top"/>
    </xf>
    <xf numFmtId="0" fontId="18" fillId="0" borderId="27" xfId="20" applyFont="1" applyBorder="1"/>
    <xf numFmtId="174" fontId="8" fillId="0" borderId="4" xfId="20" applyNumberFormat="1" applyFont="1" applyFill="1" applyBorder="1" applyAlignment="1">
      <alignment horizontal="center"/>
    </xf>
    <xf numFmtId="175" fontId="1" fillId="0" borderId="0" xfId="20" applyNumberFormat="1" applyFont="1" applyAlignment="1">
      <alignment horizontal="left"/>
    </xf>
    <xf numFmtId="0" fontId="8" fillId="0" borderId="4" xfId="20" applyNumberFormat="1" applyFont="1" applyFill="1" applyBorder="1" applyAlignment="1">
      <alignment horizontal="center"/>
    </xf>
    <xf numFmtId="171" fontId="8" fillId="4" borderId="4" xfId="20" applyNumberFormat="1" applyFont="1" applyFill="1" applyBorder="1" applyAlignment="1">
      <alignment horizontal="center"/>
    </xf>
    <xf numFmtId="0" fontId="1" fillId="0" borderId="35" xfId="20" applyFont="1" applyBorder="1" applyAlignment="1">
      <alignment horizontal="center"/>
    </xf>
    <xf numFmtId="174" fontId="8" fillId="4" borderId="4" xfId="20" applyNumberFormat="1" applyFont="1" applyFill="1" applyBorder="1" applyAlignment="1">
      <alignment horizontal="center"/>
    </xf>
    <xf numFmtId="0" fontId="11" fillId="0" borderId="36" xfId="20" applyFont="1" applyBorder="1"/>
    <xf numFmtId="17" fontId="8" fillId="0" borderId="4" xfId="20" applyNumberFormat="1" applyFont="1" applyFill="1" applyBorder="1" applyAlignment="1">
      <alignment horizontal="center" wrapText="1"/>
    </xf>
    <xf numFmtId="0" fontId="8" fillId="0" borderId="4" xfId="20" applyFont="1" applyFill="1" applyBorder="1" applyAlignment="1">
      <alignment horizontal="center" wrapText="1"/>
    </xf>
    <xf numFmtId="0" fontId="8" fillId="0" borderId="4" xfId="20" applyFont="1" applyFill="1" applyBorder="1" applyAlignment="1">
      <alignment horizontal="center"/>
    </xf>
    <xf numFmtId="0" fontId="8" fillId="4" borderId="4" xfId="20" applyFont="1" applyFill="1" applyBorder="1" applyAlignment="1" applyProtection="1">
      <alignment horizontal="center" wrapText="1"/>
      <protection locked="0"/>
    </xf>
    <xf numFmtId="0" fontId="8" fillId="4" borderId="4" xfId="20" applyFont="1" applyFill="1" applyBorder="1" applyAlignment="1" applyProtection="1">
      <alignment horizontal="center"/>
      <protection locked="0"/>
    </xf>
    <xf numFmtId="0" fontId="11" fillId="0" borderId="0" xfId="20" applyNumberFormat="1" applyFont="1" applyAlignment="1">
      <alignment horizontal="left" indent="2"/>
    </xf>
    <xf numFmtId="4" fontId="11" fillId="0" borderId="36" xfId="20" applyNumberFormat="1" applyFont="1" applyBorder="1" applyAlignment="1">
      <alignment horizontal="left" indent="2"/>
    </xf>
    <xf numFmtId="0" fontId="1" fillId="0" borderId="0" xfId="20" applyFont="1" applyAlignment="1" applyProtection="1">
      <alignment horizontal="center"/>
      <protection locked="0"/>
    </xf>
    <xf numFmtId="0" fontId="1" fillId="0" borderId="0" xfId="20" applyFont="1" applyProtection="1">
      <protection locked="0"/>
    </xf>
    <xf numFmtId="0" fontId="7" fillId="0" borderId="0" xfId="20" applyFont="1" applyProtection="1">
      <protection locked="0"/>
    </xf>
    <xf numFmtId="0" fontId="1" fillId="0" borderId="0" xfId="20" applyNumberFormat="1" applyFont="1" applyProtection="1">
      <protection locked="0"/>
    </xf>
    <xf numFmtId="0" fontId="1" fillId="4" borderId="0" xfId="20" applyNumberFormat="1" applyFont="1" applyFill="1" applyAlignment="1" applyProtection="1">
      <alignment wrapText="1"/>
      <protection locked="0"/>
    </xf>
    <xf numFmtId="0" fontId="1" fillId="4" borderId="0" xfId="20" applyNumberFormat="1" applyFont="1" applyFill="1" applyProtection="1">
      <protection locked="0"/>
    </xf>
    <xf numFmtId="0" fontId="1" fillId="4" borderId="0" xfId="20" applyFont="1" applyFill="1" applyAlignment="1" applyProtection="1">
      <alignment horizontal="center"/>
      <protection locked="0"/>
    </xf>
    <xf numFmtId="0" fontId="1" fillId="4" borderId="0" xfId="20" applyFont="1" applyFill="1" applyProtection="1">
      <protection locked="0"/>
    </xf>
    <xf numFmtId="0" fontId="7" fillId="4" borderId="0" xfId="20" applyFont="1" applyFill="1" applyProtection="1">
      <protection locked="0"/>
    </xf>
    <xf numFmtId="0" fontId="11" fillId="0" borderId="7" xfId="20" applyFont="1" applyFill="1" applyBorder="1" applyAlignment="1">
      <alignment wrapText="1"/>
    </xf>
    <xf numFmtId="0" fontId="9" fillId="0" borderId="0" xfId="0" applyFont="1"/>
    <xf numFmtId="0" fontId="9" fillId="0" borderId="0" xfId="0" applyFont="1" applyAlignment="1">
      <alignment horizontal="center" vertical="top"/>
    </xf>
    <xf numFmtId="0" fontId="9" fillId="0" borderId="0" xfId="0" applyFont="1" applyAlignment="1">
      <alignment vertical="top" wrapText="1"/>
    </xf>
    <xf numFmtId="0" fontId="25" fillId="0" borderId="0" xfId="0" applyFont="1" applyAlignment="1">
      <alignment horizontal="center" vertical="top"/>
    </xf>
    <xf numFmtId="0" fontId="25" fillId="0" borderId="0" xfId="0" applyFont="1" applyAlignment="1">
      <alignment vertical="top" wrapText="1"/>
    </xf>
    <xf numFmtId="0" fontId="25" fillId="0" borderId="0" xfId="0" applyFont="1" applyAlignment="1">
      <alignment wrapText="1"/>
    </xf>
    <xf numFmtId="0" fontId="9" fillId="0" borderId="0" xfId="0" applyFont="1" applyAlignment="1">
      <alignment wrapText="1"/>
    </xf>
    <xf numFmtId="0" fontId="26" fillId="0" borderId="0" xfId="13" applyFont="1" applyAlignment="1" applyProtection="1">
      <alignment wrapText="1"/>
    </xf>
    <xf numFmtId="0" fontId="27" fillId="0" borderId="0" xfId="0" applyFont="1" applyAlignment="1">
      <alignment horizontal="left"/>
    </xf>
    <xf numFmtId="0" fontId="9" fillId="0" borderId="0" xfId="0" applyFont="1" applyAlignment="1">
      <alignment vertical="top"/>
    </xf>
    <xf numFmtId="0" fontId="27" fillId="0" borderId="0" xfId="0" applyFont="1" applyAlignment="1">
      <alignment horizontal="center" vertical="top"/>
    </xf>
    <xf numFmtId="0" fontId="27" fillId="0" borderId="0" xfId="0" applyFont="1" applyAlignment="1"/>
    <xf numFmtId="0" fontId="9" fillId="0" borderId="0" xfId="0" applyFont="1" applyAlignment="1">
      <alignment horizontal="left" vertical="top" wrapText="1"/>
    </xf>
    <xf numFmtId="4" fontId="7" fillId="0" borderId="6" xfId="20" applyNumberFormat="1" applyFont="1" applyBorder="1" applyAlignment="1">
      <alignment horizontal="right"/>
    </xf>
    <xf numFmtId="4" fontId="11" fillId="0" borderId="37" xfId="20" applyNumberFormat="1" applyFont="1" applyBorder="1" applyAlignment="1">
      <alignment horizontal="left" indent="2"/>
    </xf>
    <xf numFmtId="4" fontId="7" fillId="0" borderId="5" xfId="20" applyNumberFormat="1" applyFont="1" applyBorder="1" applyAlignment="1">
      <alignment horizontal="right"/>
    </xf>
    <xf numFmtId="4" fontId="11" fillId="0" borderId="38" xfId="20" applyNumberFormat="1" applyFont="1" applyBorder="1" applyAlignment="1">
      <alignment horizontal="left" indent="2"/>
    </xf>
    <xf numFmtId="4" fontId="11" fillId="0" borderId="39" xfId="20" applyNumberFormat="1" applyFont="1" applyBorder="1" applyAlignment="1">
      <alignment horizontal="left" indent="2"/>
    </xf>
    <xf numFmtId="4" fontId="21" fillId="0" borderId="6" xfId="20" applyNumberFormat="1" applyFont="1" applyBorder="1" applyAlignment="1">
      <alignment horizontal="right"/>
    </xf>
    <xf numFmtId="4" fontId="21" fillId="0" borderId="5" xfId="20" applyNumberFormat="1" applyFont="1" applyBorder="1" applyAlignment="1">
      <alignment horizontal="right"/>
    </xf>
    <xf numFmtId="4" fontId="7" fillId="0" borderId="5" xfId="20" applyNumberFormat="1" applyFont="1" applyBorder="1"/>
    <xf numFmtId="0" fontId="1" fillId="0" borderId="38" xfId="20" applyNumberFormat="1" applyFont="1" applyBorder="1"/>
    <xf numFmtId="4" fontId="7" fillId="0" borderId="22" xfId="20" applyNumberFormat="1" applyFont="1" applyBorder="1"/>
    <xf numFmtId="0" fontId="1" fillId="0" borderId="39" xfId="20" applyNumberFormat="1" applyFont="1" applyBorder="1"/>
    <xf numFmtId="4" fontId="11" fillId="0" borderId="40" xfId="20" applyNumberFormat="1" applyFont="1" applyBorder="1" applyAlignment="1">
      <alignment horizontal="left" indent="2"/>
    </xf>
    <xf numFmtId="4" fontId="7" fillId="4" borderId="0" xfId="20" applyNumberFormat="1" applyFont="1" applyFill="1" applyProtection="1">
      <protection locked="0"/>
    </xf>
    <xf numFmtId="0" fontId="20" fillId="0" borderId="41" xfId="20" applyFont="1" applyBorder="1" applyAlignment="1">
      <alignment wrapText="1"/>
    </xf>
    <xf numFmtId="4" fontId="11" fillId="0" borderId="42" xfId="20" applyNumberFormat="1" applyFont="1" applyBorder="1" applyAlignment="1">
      <alignment horizontal="left" indent="2"/>
    </xf>
    <xf numFmtId="0" fontId="7" fillId="5" borderId="0" xfId="20" applyFont="1" applyFill="1"/>
    <xf numFmtId="0" fontId="20" fillId="0" borderId="0" xfId="20" applyFont="1" applyFill="1" applyProtection="1">
      <protection locked="0"/>
    </xf>
    <xf numFmtId="4" fontId="21" fillId="0" borderId="0" xfId="20" applyNumberFormat="1" applyFont="1" applyFill="1" applyProtection="1">
      <protection locked="0"/>
    </xf>
    <xf numFmtId="0" fontId="20" fillId="0" borderId="0" xfId="20" applyNumberFormat="1" applyFont="1" applyFill="1" applyProtection="1">
      <protection locked="0"/>
    </xf>
    <xf numFmtId="0" fontId="1" fillId="0" borderId="0" xfId="20" applyFont="1" applyFill="1" applyProtection="1"/>
    <xf numFmtId="0" fontId="1" fillId="0" borderId="0" xfId="20" applyFont="1" applyBorder="1" applyAlignment="1">
      <alignment horizontal="center"/>
    </xf>
    <xf numFmtId="3" fontId="1" fillId="4" borderId="4" xfId="9" applyNumberFormat="1" applyFont="1" applyFill="1" applyBorder="1" applyAlignment="1" applyProtection="1">
      <alignment horizontal="center"/>
      <protection locked="0"/>
    </xf>
    <xf numFmtId="4" fontId="1" fillId="4" borderId="0" xfId="20" applyNumberFormat="1" applyFont="1" applyFill="1" applyProtection="1">
      <protection locked="0"/>
    </xf>
    <xf numFmtId="4" fontId="11" fillId="0" borderId="43" xfId="20" applyNumberFormat="1" applyFont="1" applyBorder="1" applyAlignment="1">
      <alignment horizontal="left" indent="2"/>
    </xf>
    <xf numFmtId="0" fontId="1" fillId="0" borderId="44" xfId="20" applyFont="1" applyBorder="1" applyAlignment="1">
      <alignment horizontal="center"/>
    </xf>
    <xf numFmtId="0" fontId="7" fillId="0" borderId="45" xfId="20" applyFont="1" applyBorder="1" applyAlignment="1">
      <alignment horizontal="left"/>
    </xf>
    <xf numFmtId="0" fontId="1" fillId="0" borderId="45" xfId="20" applyNumberFormat="1" applyFont="1" applyBorder="1"/>
    <xf numFmtId="0" fontId="20" fillId="0" borderId="3" xfId="20" applyFont="1" applyBorder="1" applyAlignment="1">
      <alignment wrapText="1"/>
    </xf>
    <xf numFmtId="0" fontId="20" fillId="0" borderId="17" xfId="20" applyFont="1" applyFill="1" applyBorder="1" applyProtection="1">
      <protection locked="0"/>
    </xf>
    <xf numFmtId="4" fontId="21" fillId="0" borderId="5" xfId="20" applyNumberFormat="1" applyFont="1" applyFill="1" applyBorder="1" applyProtection="1">
      <protection locked="0"/>
    </xf>
    <xf numFmtId="0" fontId="20" fillId="0" borderId="38" xfId="20" applyNumberFormat="1" applyFont="1" applyFill="1" applyBorder="1" applyProtection="1">
      <protection locked="0"/>
    </xf>
    <xf numFmtId="4" fontId="21" fillId="5" borderId="5" xfId="20" applyNumberFormat="1" applyFont="1" applyFill="1" applyBorder="1"/>
    <xf numFmtId="4" fontId="21" fillId="0" borderId="35" xfId="20" applyNumberFormat="1" applyFont="1" applyBorder="1"/>
    <xf numFmtId="4" fontId="21" fillId="5" borderId="38" xfId="20" applyNumberFormat="1" applyFont="1" applyFill="1" applyBorder="1"/>
    <xf numFmtId="4" fontId="21" fillId="0" borderId="46" xfId="20" applyNumberFormat="1" applyFont="1" applyBorder="1"/>
    <xf numFmtId="0" fontId="28" fillId="5" borderId="0" xfId="20" applyFont="1" applyFill="1"/>
    <xf numFmtId="0" fontId="29" fillId="5" borderId="0" xfId="20" applyFont="1" applyFill="1"/>
    <xf numFmtId="4" fontId="11" fillId="0" borderId="17" xfId="20" applyNumberFormat="1" applyFont="1" applyBorder="1" applyAlignment="1">
      <alignment horizontal="left" indent="2"/>
    </xf>
    <xf numFmtId="4" fontId="21" fillId="0" borderId="42" xfId="20" applyNumberFormat="1" applyFont="1" applyBorder="1"/>
    <xf numFmtId="0" fontId="1" fillId="0" borderId="47" xfId="0" applyFont="1" applyBorder="1" applyAlignment="1">
      <alignment wrapText="1"/>
    </xf>
    <xf numFmtId="0" fontId="1" fillId="0" borderId="47" xfId="20" applyNumberFormat="1" applyFont="1" applyBorder="1"/>
    <xf numFmtId="0" fontId="1" fillId="4" borderId="47" xfId="20" applyNumberFormat="1" applyFont="1" applyFill="1" applyBorder="1" applyAlignment="1" applyProtection="1">
      <alignment wrapText="1"/>
      <protection locked="0"/>
    </xf>
    <xf numFmtId="0" fontId="1" fillId="0" borderId="0" xfId="0" applyFont="1" applyBorder="1" applyAlignment="1">
      <alignment wrapText="1"/>
    </xf>
    <xf numFmtId="171" fontId="8" fillId="4" borderId="48" xfId="20" applyNumberFormat="1" applyFont="1" applyFill="1" applyBorder="1" applyAlignment="1" applyProtection="1">
      <alignment horizontal="center"/>
      <protection locked="0"/>
    </xf>
    <xf numFmtId="2" fontId="8" fillId="4" borderId="32" xfId="20" applyNumberFormat="1" applyFont="1" applyFill="1" applyBorder="1" applyAlignment="1" applyProtection="1">
      <alignment horizontal="center" wrapText="1"/>
      <protection locked="0"/>
    </xf>
    <xf numFmtId="2" fontId="8" fillId="4" borderId="10" xfId="20" applyNumberFormat="1" applyFont="1" applyFill="1" applyBorder="1" applyAlignment="1" applyProtection="1">
      <alignment horizontal="center" wrapText="1"/>
      <protection locked="0"/>
    </xf>
    <xf numFmtId="171" fontId="8" fillId="5" borderId="10" xfId="20" applyNumberFormat="1" applyFont="1" applyFill="1" applyBorder="1" applyAlignment="1" applyProtection="1">
      <alignment horizontal="center"/>
    </xf>
    <xf numFmtId="171" fontId="8" fillId="5" borderId="33" xfId="20" applyNumberFormat="1" applyFont="1" applyFill="1" applyBorder="1" applyAlignment="1" applyProtection="1">
      <alignment horizontal="center"/>
    </xf>
    <xf numFmtId="171" fontId="8" fillId="4" borderId="33" xfId="20" applyNumberFormat="1" applyFont="1" applyFill="1" applyBorder="1" applyAlignment="1" applyProtection="1">
      <alignment horizontal="center"/>
      <protection locked="0"/>
    </xf>
    <xf numFmtId="4" fontId="7" fillId="0" borderId="49" xfId="20" applyNumberFormat="1" applyFont="1" applyBorder="1"/>
    <xf numFmtId="0" fontId="1" fillId="0" borderId="50" xfId="20" applyFont="1" applyBorder="1" applyAlignment="1">
      <alignment horizontal="center"/>
    </xf>
    <xf numFmtId="0" fontId="11" fillId="0" borderId="50" xfId="20" applyFont="1" applyBorder="1"/>
    <xf numFmtId="4" fontId="8" fillId="0" borderId="51" xfId="20" applyNumberFormat="1" applyFont="1" applyBorder="1" applyAlignment="1">
      <alignment horizontal="right"/>
    </xf>
    <xf numFmtId="4" fontId="11" fillId="0" borderId="50" xfId="20" applyNumberFormat="1" applyFont="1" applyBorder="1" applyAlignment="1">
      <alignment horizontal="left" indent="2"/>
    </xf>
    <xf numFmtId="0" fontId="1" fillId="0" borderId="3" xfId="20" applyFont="1" applyBorder="1"/>
    <xf numFmtId="0" fontId="1" fillId="0" borderId="17" xfId="20" applyFont="1" applyBorder="1"/>
    <xf numFmtId="0" fontId="1" fillId="0" borderId="52" xfId="20" applyFont="1" applyBorder="1"/>
    <xf numFmtId="4" fontId="21" fillId="5" borderId="5" xfId="20" applyNumberFormat="1" applyFont="1" applyFill="1" applyBorder="1" applyAlignment="1">
      <alignment horizontal="right"/>
    </xf>
    <xf numFmtId="171" fontId="8" fillId="5" borderId="27" xfId="20" applyNumberFormat="1" applyFont="1" applyFill="1" applyBorder="1" applyAlignment="1" applyProtection="1">
      <alignment horizontal="center"/>
    </xf>
    <xf numFmtId="171" fontId="8" fillId="5" borderId="53" xfId="20" applyNumberFormat="1" applyFont="1" applyFill="1" applyBorder="1" applyAlignment="1" applyProtection="1">
      <alignment horizontal="center"/>
    </xf>
    <xf numFmtId="0" fontId="11" fillId="0" borderId="3" xfId="20" applyFont="1" applyBorder="1" applyAlignment="1">
      <alignment wrapText="1"/>
    </xf>
    <xf numFmtId="0" fontId="11" fillId="0" borderId="3" xfId="20" applyFont="1" applyBorder="1" applyAlignment="1">
      <alignment horizontal="left"/>
    </xf>
    <xf numFmtId="0" fontId="1" fillId="0" borderId="3" xfId="20" applyFont="1" applyBorder="1" applyAlignment="1">
      <alignment horizontal="left" wrapText="1"/>
    </xf>
    <xf numFmtId="0" fontId="1" fillId="0" borderId="41" xfId="20" applyFont="1" applyBorder="1" applyAlignment="1">
      <alignment horizontal="left" wrapText="1"/>
    </xf>
    <xf numFmtId="0" fontId="1" fillId="0" borderId="42" xfId="20" applyFont="1" applyBorder="1" applyAlignment="1">
      <alignment horizontal="left" wrapText="1"/>
    </xf>
    <xf numFmtId="0" fontId="1" fillId="0" borderId="38" xfId="20" applyFont="1" applyBorder="1" applyAlignment="1">
      <alignment horizontal="left" wrapText="1"/>
    </xf>
    <xf numFmtId="0" fontId="1" fillId="0" borderId="39" xfId="20" applyFont="1" applyBorder="1" applyAlignment="1">
      <alignment horizontal="left" wrapText="1"/>
    </xf>
    <xf numFmtId="0" fontId="1" fillId="0" borderId="28" xfId="20" applyFont="1" applyBorder="1" applyAlignment="1">
      <alignment horizontal="left" wrapText="1"/>
    </xf>
    <xf numFmtId="0" fontId="1" fillId="0" borderId="37" xfId="20" applyFont="1" applyBorder="1" applyAlignment="1">
      <alignment horizontal="left" wrapText="1"/>
    </xf>
    <xf numFmtId="0" fontId="1" fillId="0" borderId="41" xfId="20" applyFont="1" applyBorder="1" applyAlignment="1">
      <alignment horizontal="left"/>
    </xf>
    <xf numFmtId="0" fontId="1" fillId="0" borderId="47" xfId="20" applyFont="1" applyBorder="1" applyAlignment="1">
      <alignment horizontal="left"/>
    </xf>
    <xf numFmtId="0" fontId="20" fillId="0" borderId="42" xfId="20" applyFont="1" applyBorder="1" applyAlignment="1">
      <alignment horizontal="left"/>
    </xf>
    <xf numFmtId="0" fontId="20" fillId="0" borderId="43" xfId="20" applyFont="1" applyBorder="1" applyAlignment="1">
      <alignment horizontal="left" wrapText="1"/>
    </xf>
    <xf numFmtId="0" fontId="20" fillId="0" borderId="39" xfId="20" applyFont="1" applyBorder="1" applyAlignment="1">
      <alignment horizontal="left" wrapText="1"/>
    </xf>
    <xf numFmtId="0" fontId="20" fillId="0" borderId="47" xfId="20" applyFont="1" applyBorder="1" applyAlignment="1">
      <alignment horizontal="left"/>
    </xf>
    <xf numFmtId="0" fontId="20" fillId="0" borderId="3" xfId="20" applyFont="1" applyBorder="1" applyAlignment="1">
      <alignment horizontal="left"/>
    </xf>
    <xf numFmtId="0" fontId="1" fillId="0" borderId="54" xfId="20" applyFont="1" applyFill="1" applyBorder="1" applyProtection="1"/>
    <xf numFmtId="0" fontId="1" fillId="0" borderId="16" xfId="20" applyFont="1" applyFill="1" applyBorder="1" applyProtection="1"/>
    <xf numFmtId="0" fontId="1" fillId="4" borderId="16" xfId="20" applyFont="1" applyFill="1" applyBorder="1" applyProtection="1">
      <protection locked="0"/>
    </xf>
    <xf numFmtId="0" fontId="1" fillId="4" borderId="53" xfId="20" applyFont="1" applyFill="1" applyBorder="1" applyProtection="1">
      <protection locked="0"/>
    </xf>
    <xf numFmtId="0" fontId="11" fillId="0" borderId="47" xfId="20" applyFont="1" applyFill="1" applyBorder="1" applyAlignment="1">
      <alignment wrapText="1"/>
    </xf>
    <xf numFmtId="0" fontId="1" fillId="0" borderId="55" xfId="20" applyFont="1" applyBorder="1"/>
    <xf numFmtId="0" fontId="20" fillId="0" borderId="3" xfId="20" applyFont="1" applyBorder="1"/>
    <xf numFmtId="0" fontId="20" fillId="0" borderId="17" xfId="20" applyFont="1" applyBorder="1"/>
    <xf numFmtId="0" fontId="20" fillId="0" borderId="36" xfId="20" applyFont="1" applyBorder="1"/>
    <xf numFmtId="0" fontId="20" fillId="0" borderId="17" xfId="20" applyFont="1" applyBorder="1" applyAlignment="1">
      <alignment wrapText="1"/>
    </xf>
    <xf numFmtId="0" fontId="7" fillId="0" borderId="17" xfId="20" applyFont="1" applyBorder="1" applyAlignment="1">
      <alignment horizontal="left"/>
    </xf>
    <xf numFmtId="0" fontId="7" fillId="0" borderId="55" xfId="20" applyFont="1" applyBorder="1" applyAlignment="1">
      <alignment horizontal="left"/>
    </xf>
    <xf numFmtId="177" fontId="8" fillId="4" borderId="48" xfId="20" applyNumberFormat="1" applyFont="1" applyFill="1" applyBorder="1" applyAlignment="1" applyProtection="1">
      <alignment horizontal="center" wrapText="1"/>
      <protection locked="0"/>
    </xf>
    <xf numFmtId="0" fontId="8" fillId="4" borderId="48" xfId="20" applyFont="1" applyFill="1" applyBorder="1" applyAlignment="1" applyProtection="1">
      <alignment horizontal="center"/>
      <protection locked="0"/>
    </xf>
    <xf numFmtId="174" fontId="8" fillId="0" borderId="48" xfId="20" applyNumberFormat="1" applyFont="1" applyFill="1" applyBorder="1" applyAlignment="1">
      <alignment horizontal="center"/>
    </xf>
    <xf numFmtId="3" fontId="8" fillId="4" borderId="48" xfId="20" applyNumberFormat="1" applyFont="1" applyFill="1" applyBorder="1" applyAlignment="1" applyProtection="1">
      <alignment horizontal="center"/>
      <protection locked="0"/>
    </xf>
    <xf numFmtId="4" fontId="8" fillId="4" borderId="48" xfId="20" applyNumberFormat="1" applyFont="1" applyFill="1" applyBorder="1" applyAlignment="1" applyProtection="1">
      <alignment horizontal="center"/>
      <protection locked="0"/>
    </xf>
    <xf numFmtId="4" fontId="1" fillId="4" borderId="14" xfId="9" applyNumberFormat="1" applyFont="1" applyFill="1" applyBorder="1" applyAlignment="1" applyProtection="1">
      <protection locked="0"/>
    </xf>
    <xf numFmtId="4" fontId="1" fillId="4" borderId="27" xfId="9" applyNumberFormat="1" applyFont="1" applyFill="1" applyBorder="1" applyAlignment="1" applyProtection="1">
      <protection locked="0"/>
    </xf>
    <xf numFmtId="4" fontId="1" fillId="4" borderId="56" xfId="9" applyNumberFormat="1" applyFont="1" applyFill="1" applyBorder="1" applyAlignment="1" applyProtection="1">
      <protection locked="0"/>
    </xf>
    <xf numFmtId="4" fontId="1" fillId="4" borderId="19" xfId="9" applyNumberFormat="1" applyFont="1" applyFill="1" applyBorder="1" applyAlignment="1" applyProtection="1">
      <protection locked="0"/>
    </xf>
    <xf numFmtId="4" fontId="1" fillId="4" borderId="57" xfId="9" applyNumberFormat="1" applyFont="1" applyFill="1" applyBorder="1" applyAlignment="1" applyProtection="1">
      <protection locked="0"/>
    </xf>
    <xf numFmtId="4" fontId="1" fillId="4" borderId="48" xfId="9" applyNumberFormat="1" applyFont="1" applyFill="1" applyBorder="1" applyAlignment="1" applyProtection="1">
      <alignment horizontal="center"/>
      <protection locked="0"/>
    </xf>
    <xf numFmtId="4" fontId="1" fillId="4" borderId="48" xfId="9" applyNumberFormat="1" applyFont="1" applyFill="1" applyBorder="1" applyAlignment="1" applyProtection="1">
      <protection locked="0"/>
    </xf>
    <xf numFmtId="2" fontId="8" fillId="4" borderId="8" xfId="20" applyNumberFormat="1" applyFont="1" applyFill="1" applyBorder="1" applyAlignment="1" applyProtection="1">
      <alignment horizontal="center" wrapText="1"/>
      <protection locked="0"/>
    </xf>
    <xf numFmtId="2" fontId="8" fillId="4" borderId="27" xfId="20" applyNumberFormat="1" applyFont="1" applyFill="1" applyBorder="1" applyAlignment="1" applyProtection="1">
      <alignment horizontal="center" wrapText="1"/>
      <protection locked="0"/>
    </xf>
    <xf numFmtId="171" fontId="8" fillId="4" borderId="27" xfId="20" applyNumberFormat="1" applyFont="1" applyFill="1" applyBorder="1" applyAlignment="1" applyProtection="1">
      <alignment horizontal="center"/>
      <protection locked="0"/>
    </xf>
    <xf numFmtId="3" fontId="1" fillId="4" borderId="48" xfId="9" applyNumberFormat="1" applyFont="1" applyFill="1" applyBorder="1" applyAlignment="1" applyProtection="1">
      <alignment horizontal="center"/>
      <protection locked="0"/>
    </xf>
    <xf numFmtId="3" fontId="1" fillId="4" borderId="8" xfId="9" applyNumberFormat="1" applyFont="1" applyFill="1" applyBorder="1" applyAlignment="1" applyProtection="1">
      <alignment horizontal="center"/>
      <protection locked="0"/>
    </xf>
    <xf numFmtId="3" fontId="1" fillId="4" borderId="57" xfId="9" applyNumberFormat="1" applyFont="1" applyFill="1" applyBorder="1" applyAlignment="1" applyProtection="1">
      <alignment horizontal="center"/>
      <protection locked="0"/>
    </xf>
    <xf numFmtId="17" fontId="8" fillId="0" borderId="48" xfId="20" applyNumberFormat="1" applyFont="1" applyFill="1" applyBorder="1" applyAlignment="1">
      <alignment horizontal="center" wrapText="1"/>
    </xf>
    <xf numFmtId="4" fontId="7" fillId="0" borderId="58" xfId="20" applyNumberFormat="1" applyFont="1" applyBorder="1" applyAlignment="1">
      <alignment horizontal="right"/>
    </xf>
    <xf numFmtId="4" fontId="7" fillId="0" borderId="18" xfId="20" applyNumberFormat="1" applyFont="1" applyBorder="1" applyAlignment="1">
      <alignment horizontal="right"/>
    </xf>
    <xf numFmtId="4" fontId="7" fillId="0" borderId="59" xfId="20" applyNumberFormat="1" applyFont="1" applyBorder="1" applyAlignment="1">
      <alignment horizontal="right"/>
    </xf>
    <xf numFmtId="4" fontId="7" fillId="0" borderId="1" xfId="20" applyNumberFormat="1" applyFont="1" applyBorder="1" applyAlignment="1">
      <alignment horizontal="right"/>
    </xf>
    <xf numFmtId="4" fontId="7" fillId="0" borderId="60" xfId="20" applyNumberFormat="1" applyFont="1" applyBorder="1" applyAlignment="1">
      <alignment horizontal="right"/>
    </xf>
    <xf numFmtId="4" fontId="8" fillId="0" borderId="61" xfId="20" applyNumberFormat="1" applyFont="1" applyBorder="1" applyAlignment="1">
      <alignment horizontal="right"/>
    </xf>
    <xf numFmtId="4" fontId="21" fillId="0" borderId="58" xfId="20" applyNumberFormat="1" applyFont="1" applyBorder="1" applyAlignment="1">
      <alignment horizontal="right"/>
    </xf>
    <xf numFmtId="4" fontId="21" fillId="0" borderId="18" xfId="20" applyNumberFormat="1" applyFont="1" applyBorder="1" applyAlignment="1">
      <alignment horizontal="right"/>
    </xf>
    <xf numFmtId="4" fontId="30" fillId="0" borderId="1" xfId="20" applyNumberFormat="1" applyFont="1" applyBorder="1" applyAlignment="1">
      <alignment horizontal="right"/>
    </xf>
    <xf numFmtId="4" fontId="21" fillId="0" borderId="18" xfId="20" applyNumberFormat="1" applyFont="1" applyFill="1" applyBorder="1" applyProtection="1">
      <protection locked="0"/>
    </xf>
    <xf numFmtId="4" fontId="7" fillId="0" borderId="62" xfId="20" applyNumberFormat="1" applyFont="1" applyBorder="1"/>
    <xf numFmtId="4" fontId="7" fillId="0" borderId="18" xfId="20" applyNumberFormat="1" applyFont="1" applyBorder="1"/>
    <xf numFmtId="4" fontId="7" fillId="0" borderId="59" xfId="20" applyNumberFormat="1" applyFont="1" applyBorder="1"/>
    <xf numFmtId="0" fontId="1" fillId="0" borderId="34" xfId="20" applyFont="1" applyBorder="1"/>
    <xf numFmtId="0" fontId="11" fillId="0" borderId="34" xfId="20" applyFont="1" applyBorder="1"/>
    <xf numFmtId="0" fontId="20" fillId="0" borderId="34" xfId="20" applyFont="1" applyBorder="1"/>
    <xf numFmtId="0" fontId="20" fillId="0" borderId="34" xfId="20" applyFont="1" applyFill="1" applyBorder="1" applyProtection="1">
      <protection locked="0"/>
    </xf>
    <xf numFmtId="0" fontId="7" fillId="0" borderId="34" xfId="20" applyFont="1" applyBorder="1" applyAlignment="1">
      <alignment horizontal="left"/>
    </xf>
    <xf numFmtId="0" fontId="1" fillId="0" borderId="15" xfId="20" applyFont="1" applyBorder="1"/>
    <xf numFmtId="4" fontId="7" fillId="4" borderId="8" xfId="20" applyNumberFormat="1" applyFont="1" applyFill="1" applyBorder="1" applyProtection="1">
      <protection locked="0"/>
    </xf>
    <xf numFmtId="4" fontId="7" fillId="4" borderId="32" xfId="20" applyNumberFormat="1" applyFont="1" applyFill="1" applyBorder="1" applyProtection="1">
      <protection locked="0"/>
    </xf>
    <xf numFmtId="4" fontId="7" fillId="4" borderId="27" xfId="20" applyNumberFormat="1" applyFont="1" applyFill="1" applyBorder="1" applyProtection="1">
      <protection locked="0"/>
    </xf>
    <xf numFmtId="4" fontId="7" fillId="4" borderId="10" xfId="20" applyNumberFormat="1" applyFont="1" applyFill="1" applyBorder="1" applyProtection="1">
      <protection locked="0"/>
    </xf>
    <xf numFmtId="4" fontId="28" fillId="5" borderId="0" xfId="0" applyNumberFormat="1" applyFont="1" applyFill="1"/>
    <xf numFmtId="4" fontId="7" fillId="5" borderId="10" xfId="20" applyNumberFormat="1" applyFont="1" applyFill="1" applyBorder="1" applyProtection="1"/>
    <xf numFmtId="4" fontId="7" fillId="4" borderId="57" xfId="20" applyNumberFormat="1" applyFont="1" applyFill="1" applyBorder="1" applyProtection="1">
      <protection locked="0"/>
    </xf>
    <xf numFmtId="4" fontId="7" fillId="4" borderId="33" xfId="20" applyNumberFormat="1" applyFont="1" applyFill="1" applyBorder="1" applyProtection="1">
      <protection locked="0"/>
    </xf>
    <xf numFmtId="17" fontId="33" fillId="0" borderId="4" xfId="20" applyNumberFormat="1" applyFont="1" applyFill="1" applyBorder="1" applyAlignment="1">
      <alignment horizontal="center" wrapText="1"/>
    </xf>
    <xf numFmtId="4" fontId="20" fillId="4" borderId="10" xfId="20" applyNumberFormat="1" applyFont="1" applyFill="1" applyBorder="1" applyProtection="1">
      <protection locked="0"/>
    </xf>
    <xf numFmtId="4" fontId="20" fillId="4" borderId="10" xfId="20" applyNumberFormat="1" applyFont="1" applyFill="1" applyBorder="1" applyAlignment="1" applyProtection="1">
      <alignment wrapText="1"/>
      <protection locked="0"/>
    </xf>
    <xf numFmtId="0" fontId="1" fillId="0" borderId="0" xfId="20" applyFont="1" applyBorder="1"/>
    <xf numFmtId="177" fontId="34" fillId="4" borderId="4" xfId="20" applyNumberFormat="1" applyFont="1" applyFill="1" applyBorder="1" applyAlignment="1" applyProtection="1">
      <alignment horizontal="center" wrapText="1"/>
      <protection locked="0"/>
    </xf>
    <xf numFmtId="176" fontId="34" fillId="4" borderId="4" xfId="20" applyNumberFormat="1" applyFont="1" applyFill="1" applyBorder="1" applyAlignment="1" applyProtection="1">
      <alignment horizontal="center" wrapText="1"/>
      <protection locked="0"/>
    </xf>
    <xf numFmtId="0" fontId="34" fillId="4" borderId="4" xfId="20" applyFont="1" applyFill="1" applyBorder="1" applyAlignment="1" applyProtection="1">
      <alignment horizontal="center"/>
      <protection locked="0"/>
    </xf>
    <xf numFmtId="171" fontId="34" fillId="4" borderId="4" xfId="20" applyNumberFormat="1" applyFont="1" applyFill="1" applyBorder="1" applyAlignment="1" applyProtection="1">
      <alignment horizontal="center"/>
      <protection locked="0"/>
    </xf>
    <xf numFmtId="4" fontId="34" fillId="4" borderId="4" xfId="20" applyNumberFormat="1" applyFont="1" applyFill="1" applyBorder="1" applyAlignment="1" applyProtection="1">
      <alignment horizontal="center"/>
      <protection locked="0"/>
    </xf>
    <xf numFmtId="4" fontId="35" fillId="4" borderId="9" xfId="9" applyNumberFormat="1" applyFont="1" applyFill="1" applyBorder="1" applyAlignment="1" applyProtection="1">
      <protection locked="0"/>
    </xf>
    <xf numFmtId="4" fontId="35" fillId="4" borderId="10" xfId="9" applyNumberFormat="1" applyFont="1" applyFill="1" applyBorder="1" applyAlignment="1" applyProtection="1">
      <protection locked="0"/>
    </xf>
    <xf numFmtId="4" fontId="35" fillId="4" borderId="11" xfId="9" applyNumberFormat="1" applyFont="1" applyFill="1" applyBorder="1" applyAlignment="1" applyProtection="1">
      <protection locked="0"/>
    </xf>
    <xf numFmtId="4" fontId="35" fillId="4" borderId="34" xfId="9" applyNumberFormat="1" applyFont="1" applyFill="1" applyBorder="1" applyAlignment="1" applyProtection="1">
      <protection locked="0"/>
    </xf>
    <xf numFmtId="4" fontId="35" fillId="4" borderId="33" xfId="9" applyNumberFormat="1" applyFont="1" applyFill="1" applyBorder="1" applyAlignment="1" applyProtection="1">
      <protection locked="0"/>
    </xf>
    <xf numFmtId="4" fontId="35" fillId="4" borderId="4" xfId="9" applyNumberFormat="1" applyFont="1" applyFill="1" applyBorder="1" applyAlignment="1" applyProtection="1">
      <alignment horizontal="center"/>
      <protection locked="0"/>
    </xf>
    <xf numFmtId="4" fontId="35" fillId="4" borderId="4" xfId="9" applyNumberFormat="1" applyFont="1" applyFill="1" applyBorder="1" applyAlignment="1" applyProtection="1">
      <protection locked="0"/>
    </xf>
    <xf numFmtId="171" fontId="34" fillId="4" borderId="10" xfId="20" applyNumberFormat="1" applyFont="1" applyFill="1" applyBorder="1" applyAlignment="1" applyProtection="1">
      <alignment horizontal="center"/>
      <protection locked="0"/>
    </xf>
    <xf numFmtId="171" fontId="34" fillId="4" borderId="33" xfId="20" applyNumberFormat="1" applyFont="1" applyFill="1" applyBorder="1" applyAlignment="1" applyProtection="1">
      <alignment horizontal="center"/>
      <protection locked="0"/>
    </xf>
    <xf numFmtId="3" fontId="35" fillId="4" borderId="32" xfId="9" applyNumberFormat="1" applyFont="1" applyFill="1" applyBorder="1" applyAlignment="1" applyProtection="1">
      <alignment horizontal="center"/>
      <protection locked="0"/>
    </xf>
    <xf numFmtId="3" fontId="35" fillId="4" borderId="33" xfId="9" applyNumberFormat="1" applyFont="1" applyFill="1" applyBorder="1" applyAlignment="1" applyProtection="1">
      <alignment horizontal="center"/>
      <protection locked="0"/>
    </xf>
    <xf numFmtId="4" fontId="36" fillId="4" borderId="10" xfId="20" applyNumberFormat="1" applyFont="1" applyFill="1" applyBorder="1" applyProtection="1">
      <protection locked="0"/>
    </xf>
    <xf numFmtId="0" fontId="37" fillId="4" borderId="0" xfId="20" applyNumberFormat="1" applyFont="1" applyFill="1" applyProtection="1">
      <protection locked="0"/>
    </xf>
    <xf numFmtId="174" fontId="8" fillId="4" borderId="4" xfId="20" applyNumberFormat="1" applyFont="1" applyFill="1" applyBorder="1" applyAlignment="1" applyProtection="1">
      <alignment horizontal="center"/>
      <protection locked="0"/>
    </xf>
    <xf numFmtId="17" fontId="8" fillId="6" borderId="4" xfId="20" applyNumberFormat="1" applyFont="1" applyFill="1" applyBorder="1" applyAlignment="1">
      <alignment horizontal="center" wrapText="1"/>
    </xf>
    <xf numFmtId="0" fontId="40" fillId="0" borderId="0" xfId="0" applyFont="1" applyAlignment="1">
      <alignment wrapText="1"/>
    </xf>
    <xf numFmtId="14" fontId="0" fillId="0" borderId="0" xfId="0" applyNumberFormat="1" applyAlignment="1">
      <alignment horizontal="left" wrapText="1"/>
    </xf>
    <xf numFmtId="0" fontId="11" fillId="0" borderId="3" xfId="20" applyFont="1" applyBorder="1" applyAlignment="1">
      <alignment horizontal="left" wrapText="1"/>
    </xf>
    <xf numFmtId="0" fontId="1" fillId="0" borderId="0" xfId="20" applyNumberFormat="1" applyFont="1" applyAlignment="1">
      <alignment horizontal="left"/>
    </xf>
    <xf numFmtId="4" fontId="41" fillId="4" borderId="48" xfId="20" applyNumberFormat="1" applyFont="1" applyFill="1" applyBorder="1" applyAlignment="1" applyProtection="1">
      <alignment horizontal="center"/>
      <protection locked="0"/>
    </xf>
    <xf numFmtId="3" fontId="42" fillId="4" borderId="48" xfId="9" applyNumberFormat="1" applyFont="1" applyFill="1" applyBorder="1" applyAlignment="1" applyProtection="1">
      <alignment horizontal="center"/>
      <protection locked="0"/>
    </xf>
    <xf numFmtId="0" fontId="0" fillId="7" borderId="0" xfId="0" applyFill="1" applyProtection="1">
      <protection locked="0"/>
    </xf>
    <xf numFmtId="17" fontId="0" fillId="7" borderId="0" xfId="0" applyNumberFormat="1" applyFill="1" applyProtection="1">
      <protection locked="0"/>
    </xf>
    <xf numFmtId="0" fontId="9" fillId="8" borderId="12" xfId="0" applyFont="1" applyFill="1" applyBorder="1"/>
    <xf numFmtId="0" fontId="43" fillId="8" borderId="14" xfId="0" applyFont="1" applyFill="1" applyBorder="1" applyAlignment="1">
      <alignment horizontal="center" wrapText="1"/>
    </xf>
    <xf numFmtId="0" fontId="9" fillId="0" borderId="15" xfId="0" applyFont="1" applyBorder="1"/>
    <xf numFmtId="0" fontId="43" fillId="0" borderId="19" xfId="0" applyFont="1" applyBorder="1" applyAlignment="1">
      <alignment horizontal="center"/>
    </xf>
    <xf numFmtId="0" fontId="9" fillId="8" borderId="15" xfId="0" applyFont="1" applyFill="1" applyBorder="1"/>
    <xf numFmtId="178" fontId="43" fillId="8" borderId="19" xfId="0" applyNumberFormat="1" applyFont="1" applyFill="1" applyBorder="1" applyAlignment="1">
      <alignment horizontal="center"/>
    </xf>
    <xf numFmtId="177" fontId="43" fillId="0" borderId="19" xfId="20" applyNumberFormat="1" applyFont="1" applyFill="1" applyBorder="1" applyAlignment="1" applyProtection="1">
      <alignment horizontal="center" wrapText="1"/>
      <protection locked="0"/>
    </xf>
    <xf numFmtId="0" fontId="9" fillId="8" borderId="63" xfId="0" applyFont="1" applyFill="1" applyBorder="1"/>
    <xf numFmtId="0" fontId="44" fillId="0" borderId="19" xfId="0" applyFont="1" applyBorder="1"/>
    <xf numFmtId="0" fontId="0" fillId="0" borderId="0" xfId="0" applyAlignment="1">
      <alignment horizontal="center"/>
    </xf>
    <xf numFmtId="0" fontId="9" fillId="9" borderId="15" xfId="0" applyFont="1" applyFill="1" applyBorder="1"/>
    <xf numFmtId="4" fontId="44" fillId="9" borderId="19" xfId="0" applyNumberFormat="1" applyFont="1" applyFill="1" applyBorder="1" applyAlignment="1">
      <alignment horizontal="right"/>
    </xf>
    <xf numFmtId="0" fontId="9" fillId="11" borderId="15" xfId="0" applyFont="1" applyFill="1" applyBorder="1"/>
    <xf numFmtId="4" fontId="44" fillId="11" borderId="19" xfId="0" applyNumberFormat="1" applyFont="1" applyFill="1" applyBorder="1" applyAlignment="1">
      <alignment horizontal="right"/>
    </xf>
    <xf numFmtId="0" fontId="9" fillId="12" borderId="15" xfId="0" applyFont="1" applyFill="1" applyBorder="1"/>
    <xf numFmtId="4" fontId="44" fillId="12" borderId="19" xfId="0" applyNumberFormat="1" applyFont="1" applyFill="1" applyBorder="1" applyAlignment="1">
      <alignment horizontal="right"/>
    </xf>
    <xf numFmtId="0" fontId="9" fillId="12" borderId="64" xfId="0" applyFont="1" applyFill="1" applyBorder="1"/>
    <xf numFmtId="4" fontId="43" fillId="12" borderId="48" xfId="0" applyNumberFormat="1" applyFont="1" applyFill="1" applyBorder="1" applyAlignment="1">
      <alignment horizontal="right"/>
    </xf>
    <xf numFmtId="0" fontId="9" fillId="13" borderId="15" xfId="0" applyFont="1" applyFill="1" applyBorder="1"/>
    <xf numFmtId="4" fontId="44" fillId="13" borderId="19" xfId="0" applyNumberFormat="1" applyFont="1" applyFill="1" applyBorder="1" applyAlignment="1">
      <alignment horizontal="right"/>
    </xf>
    <xf numFmtId="0" fontId="9" fillId="14" borderId="15" xfId="0" applyFont="1" applyFill="1" applyBorder="1"/>
    <xf numFmtId="4" fontId="44" fillId="14" borderId="19" xfId="0" applyNumberFormat="1" applyFont="1" applyFill="1" applyBorder="1" applyAlignment="1">
      <alignment horizontal="right"/>
    </xf>
    <xf numFmtId="4" fontId="43" fillId="14" borderId="19" xfId="0" applyNumberFormat="1" applyFont="1" applyFill="1" applyBorder="1" applyAlignment="1">
      <alignment horizontal="right"/>
    </xf>
    <xf numFmtId="3" fontId="39" fillId="14" borderId="19" xfId="0" applyNumberFormat="1" applyFont="1" applyFill="1" applyBorder="1" applyAlignment="1">
      <alignment horizontal="left"/>
    </xf>
    <xf numFmtId="3" fontId="39" fillId="13" borderId="19" xfId="0" applyNumberFormat="1" applyFont="1" applyFill="1" applyBorder="1" applyAlignment="1">
      <alignment horizontal="left"/>
    </xf>
    <xf numFmtId="0" fontId="9" fillId="14" borderId="64" xfId="0" applyFont="1" applyFill="1" applyBorder="1"/>
    <xf numFmtId="4" fontId="43" fillId="14" borderId="48" xfId="0" applyNumberFormat="1" applyFont="1" applyFill="1" applyBorder="1" applyAlignment="1">
      <alignment horizontal="right"/>
    </xf>
    <xf numFmtId="0" fontId="9" fillId="15" borderId="15" xfId="0" applyFont="1" applyFill="1" applyBorder="1"/>
    <xf numFmtId="4" fontId="44" fillId="15" borderId="19" xfId="0" applyNumberFormat="1" applyFont="1" applyFill="1" applyBorder="1" applyAlignment="1">
      <alignment horizontal="right"/>
    </xf>
    <xf numFmtId="0" fontId="9" fillId="15" borderId="64" xfId="0" applyFont="1" applyFill="1" applyBorder="1"/>
    <xf numFmtId="4" fontId="43" fillId="15" borderId="48" xfId="0" applyNumberFormat="1" applyFont="1" applyFill="1" applyBorder="1" applyAlignment="1">
      <alignment horizontal="right"/>
    </xf>
    <xf numFmtId="0" fontId="39" fillId="14" borderId="15" xfId="0" applyFont="1" applyFill="1" applyBorder="1"/>
    <xf numFmtId="0" fontId="39" fillId="13" borderId="15" xfId="0" applyFont="1" applyFill="1" applyBorder="1"/>
    <xf numFmtId="0" fontId="18" fillId="0" borderId="12" xfId="19" applyFont="1" applyBorder="1" applyAlignment="1">
      <alignment horizontal="centerContinuous"/>
    </xf>
    <xf numFmtId="0" fontId="18" fillId="0" borderId="13" xfId="19" applyFont="1" applyBorder="1" applyAlignment="1">
      <alignment horizontal="centerContinuous"/>
    </xf>
    <xf numFmtId="0" fontId="18" fillId="0" borderId="14" xfId="19" applyFont="1" applyBorder="1" applyAlignment="1">
      <alignment horizontal="centerContinuous"/>
    </xf>
    <xf numFmtId="0" fontId="3" fillId="0" borderId="0" xfId="19" applyFont="1"/>
    <xf numFmtId="0" fontId="3" fillId="0" borderId="15" xfId="19" applyFont="1" applyBorder="1" applyAlignment="1">
      <alignment horizontal="center"/>
    </xf>
    <xf numFmtId="0" fontId="3" fillId="0" borderId="16" xfId="19" applyFont="1" applyBorder="1" applyAlignment="1">
      <alignment horizontal="left"/>
    </xf>
    <xf numFmtId="0" fontId="3" fillId="0" borderId="17" xfId="19" applyFont="1" applyBorder="1" applyAlignment="1">
      <alignment horizontal="left"/>
    </xf>
    <xf numFmtId="0" fontId="1" fillId="0" borderId="17" xfId="19" applyFont="1" applyBorder="1" applyAlignment="1">
      <alignment horizontal="left"/>
    </xf>
    <xf numFmtId="0" fontId="3" fillId="0" borderId="18" xfId="19" applyFont="1" applyBorder="1" applyAlignment="1">
      <alignment horizontal="left"/>
    </xf>
    <xf numFmtId="0" fontId="3" fillId="0" borderId="19" xfId="19" applyFont="1" applyBorder="1" applyAlignment="1">
      <alignment horizontal="center"/>
    </xf>
    <xf numFmtId="0" fontId="3" fillId="0" borderId="20" xfId="19" applyFont="1" applyBorder="1" applyAlignment="1">
      <alignment horizontal="center"/>
    </xf>
    <xf numFmtId="3" fontId="18" fillId="0" borderId="21" xfId="14" applyFont="1" applyBorder="1" applyAlignment="1">
      <alignment horizontal="center"/>
    </xf>
    <xf numFmtId="3" fontId="18" fillId="0" borderId="22" xfId="14" applyFont="1" applyBorder="1" applyAlignment="1">
      <alignment horizontal="center"/>
    </xf>
    <xf numFmtId="0" fontId="3" fillId="0" borderId="23" xfId="19" applyFont="1" applyBorder="1" applyAlignment="1">
      <alignment horizontal="center"/>
    </xf>
    <xf numFmtId="0" fontId="3" fillId="0" borderId="24" xfId="19" applyFont="1" applyBorder="1" applyAlignment="1">
      <alignment horizontal="center"/>
    </xf>
    <xf numFmtId="3" fontId="3" fillId="0" borderId="24" xfId="14" applyFont="1" applyBorder="1" applyAlignment="1">
      <alignment horizontal="center"/>
    </xf>
    <xf numFmtId="3" fontId="3" fillId="0" borderId="5" xfId="14" applyFont="1" applyBorder="1" applyAlignment="1">
      <alignment horizontal="center"/>
    </xf>
    <xf numFmtId="4" fontId="5" fillId="0" borderId="25" xfId="14" applyNumberFormat="1" applyFont="1" applyBorder="1" applyAlignment="1">
      <alignment horizontal="center"/>
    </xf>
    <xf numFmtId="3" fontId="2" fillId="0" borderId="65" xfId="14" applyFont="1" applyBorder="1" applyAlignment="1">
      <alignment horizontal="center"/>
    </xf>
    <xf numFmtId="3" fontId="2" fillId="0" borderId="46" xfId="14" applyFont="1" applyBorder="1" applyAlignment="1">
      <alignment horizontal="center"/>
    </xf>
    <xf numFmtId="0" fontId="16" fillId="0" borderId="0" xfId="19" applyFont="1"/>
    <xf numFmtId="0" fontId="3" fillId="0" borderId="27" xfId="19" applyFont="1" applyBorder="1" applyAlignment="1">
      <alignment horizontal="left"/>
    </xf>
    <xf numFmtId="0" fontId="3" fillId="0" borderId="0" xfId="19" applyFont="1" applyBorder="1" applyAlignment="1">
      <alignment horizontal="center"/>
    </xf>
    <xf numFmtId="3" fontId="18" fillId="0" borderId="26" xfId="14" applyFont="1" applyBorder="1" applyAlignment="1">
      <alignment horizontal="center"/>
    </xf>
    <xf numFmtId="0" fontId="3" fillId="0" borderId="28" xfId="19" applyFont="1" applyBorder="1" applyAlignment="1">
      <alignment horizontal="center"/>
    </xf>
    <xf numFmtId="3" fontId="3" fillId="0" borderId="18" xfId="14" applyFont="1" applyBorder="1" applyAlignment="1">
      <alignment horizontal="center"/>
    </xf>
    <xf numFmtId="3" fontId="3" fillId="0" borderId="27" xfId="14" applyFont="1" applyBorder="1" applyAlignment="1">
      <alignment horizontal="center"/>
    </xf>
    <xf numFmtId="3" fontId="3" fillId="0" borderId="25" xfId="14" applyFont="1" applyBorder="1" applyAlignment="1">
      <alignment horizontal="center"/>
    </xf>
    <xf numFmtId="0" fontId="3" fillId="0" borderId="21" xfId="19" applyFont="1" applyBorder="1" applyAlignment="1">
      <alignment horizontal="center"/>
    </xf>
    <xf numFmtId="3" fontId="3" fillId="0" borderId="21" xfId="14" applyFont="1" applyBorder="1" applyAlignment="1">
      <alignment horizontal="center"/>
    </xf>
    <xf numFmtId="3" fontId="3" fillId="0" borderId="22" xfId="14" applyFont="1" applyBorder="1" applyAlignment="1">
      <alignment horizontal="center"/>
    </xf>
    <xf numFmtId="3" fontId="3" fillId="0" borderId="26" xfId="14" applyFont="1" applyBorder="1" applyAlignment="1">
      <alignment horizontal="center"/>
    </xf>
    <xf numFmtId="0" fontId="18" fillId="0" borderId="12" xfId="19" applyFont="1" applyBorder="1" applyAlignment="1">
      <alignment horizontal="center"/>
    </xf>
    <xf numFmtId="0" fontId="3" fillId="0" borderId="11" xfId="19" applyFont="1" applyBorder="1" applyAlignment="1">
      <alignment horizontal="center"/>
    </xf>
    <xf numFmtId="0" fontId="3" fillId="0" borderId="10" xfId="19" applyFont="1" applyBorder="1" applyAlignment="1">
      <alignment horizontal="center"/>
    </xf>
    <xf numFmtId="4" fontId="3" fillId="0" borderId="18" xfId="14" applyNumberFormat="1" applyFont="1" applyBorder="1" applyAlignment="1">
      <alignment horizontal="center"/>
    </xf>
    <xf numFmtId="4" fontId="3" fillId="0" borderId="27" xfId="14" applyNumberFormat="1" applyFont="1" applyBorder="1" applyAlignment="1">
      <alignment horizontal="center"/>
    </xf>
    <xf numFmtId="0" fontId="3" fillId="0" borderId="33" xfId="19" applyFont="1" applyBorder="1" applyAlignment="1">
      <alignment horizontal="center"/>
    </xf>
    <xf numFmtId="4" fontId="3" fillId="0" borderId="59" xfId="14" applyNumberFormat="1" applyFont="1" applyBorder="1" applyAlignment="1">
      <alignment horizontal="center"/>
    </xf>
    <xf numFmtId="4" fontId="3" fillId="0" borderId="57" xfId="14" applyNumberFormat="1" applyFont="1" applyBorder="1" applyAlignment="1">
      <alignment horizontal="center"/>
    </xf>
    <xf numFmtId="0" fontId="3" fillId="0" borderId="32" xfId="19" applyFont="1" applyBorder="1" applyAlignment="1">
      <alignment horizontal="center"/>
    </xf>
    <xf numFmtId="4" fontId="3" fillId="0" borderId="46" xfId="14" applyNumberFormat="1" applyFont="1" applyBorder="1" applyAlignment="1">
      <alignment horizontal="center"/>
    </xf>
    <xf numFmtId="4" fontId="3" fillId="0" borderId="8" xfId="14" applyNumberFormat="1" applyFont="1" applyBorder="1" applyAlignment="1">
      <alignment horizontal="center"/>
    </xf>
    <xf numFmtId="174" fontId="8" fillId="0" borderId="4" xfId="20" applyNumberFormat="1" applyFont="1" applyFill="1" applyBorder="1" applyAlignment="1" applyProtection="1">
      <alignment horizontal="center"/>
    </xf>
    <xf numFmtId="3" fontId="34" fillId="4" borderId="4" xfId="20" applyNumberFormat="1" applyFont="1" applyFill="1" applyBorder="1" applyAlignment="1" applyProtection="1">
      <alignment horizontal="center"/>
      <protection locked="0"/>
    </xf>
    <xf numFmtId="174" fontId="8" fillId="8" borderId="4" xfId="20" applyNumberFormat="1" applyFont="1" applyFill="1" applyBorder="1" applyAlignment="1" applyProtection="1">
      <alignment horizontal="center"/>
      <protection locked="0"/>
    </xf>
    <xf numFmtId="0" fontId="9" fillId="0" borderId="0" xfId="0" applyFont="1" applyProtection="1"/>
    <xf numFmtId="0" fontId="46" fillId="0" borderId="15" xfId="0" applyFont="1" applyBorder="1"/>
    <xf numFmtId="0" fontId="46" fillId="0" borderId="19" xfId="0" applyFont="1" applyBorder="1"/>
    <xf numFmtId="0" fontId="46" fillId="0" borderId="63" xfId="0" applyFont="1" applyBorder="1"/>
    <xf numFmtId="0" fontId="46" fillId="0" borderId="56" xfId="0" applyFont="1" applyBorder="1"/>
    <xf numFmtId="177" fontId="34" fillId="7" borderId="4" xfId="20" applyNumberFormat="1" applyFont="1" applyFill="1" applyBorder="1" applyAlignment="1" applyProtection="1">
      <alignment horizontal="center" wrapText="1"/>
      <protection locked="0"/>
    </xf>
    <xf numFmtId="171" fontId="34" fillId="7" borderId="4" xfId="20" applyNumberFormat="1" applyFont="1" applyFill="1" applyBorder="1" applyAlignment="1" applyProtection="1">
      <alignment horizontal="center"/>
      <protection locked="0"/>
    </xf>
    <xf numFmtId="4" fontId="34" fillId="7" borderId="4" xfId="20" applyNumberFormat="1" applyFont="1" applyFill="1" applyBorder="1" applyAlignment="1" applyProtection="1">
      <alignment horizontal="center"/>
      <protection locked="0"/>
    </xf>
    <xf numFmtId="4" fontId="35" fillId="7" borderId="9" xfId="9" applyNumberFormat="1" applyFont="1" applyFill="1" applyBorder="1" applyAlignment="1" applyProtection="1">
      <protection locked="0"/>
    </xf>
    <xf numFmtId="3" fontId="35" fillId="7" borderId="32" xfId="9" applyNumberFormat="1" applyFont="1" applyFill="1" applyBorder="1" applyAlignment="1" applyProtection="1">
      <alignment horizontal="center"/>
      <protection locked="0"/>
    </xf>
    <xf numFmtId="3" fontId="35" fillId="7" borderId="33" xfId="9" applyNumberFormat="1" applyFont="1" applyFill="1" applyBorder="1" applyAlignment="1" applyProtection="1">
      <alignment horizontal="center"/>
      <protection locked="0"/>
    </xf>
    <xf numFmtId="0" fontId="9" fillId="0" borderId="0" xfId="0" applyFont="1" applyAlignment="1" applyProtection="1">
      <alignment horizontal="left"/>
    </xf>
    <xf numFmtId="0" fontId="9" fillId="0" borderId="0" xfId="0" applyFont="1" applyFill="1" applyProtection="1"/>
    <xf numFmtId="0" fontId="9" fillId="0" borderId="0" xfId="0" applyFont="1" applyAlignment="1" applyProtection="1">
      <alignment horizontal="center"/>
    </xf>
    <xf numFmtId="4" fontId="15" fillId="0" borderId="0" xfId="0" applyNumberFormat="1" applyFont="1" applyProtection="1"/>
    <xf numFmtId="0" fontId="9" fillId="8" borderId="12" xfId="0" applyFont="1" applyFill="1" applyBorder="1" applyProtection="1"/>
    <xf numFmtId="0" fontId="43" fillId="8" borderId="9" xfId="0" applyFont="1" applyFill="1" applyBorder="1" applyAlignment="1" applyProtection="1">
      <alignment horizontal="center" wrapText="1"/>
    </xf>
    <xf numFmtId="0" fontId="9" fillId="0" borderId="15" xfId="0" applyFont="1" applyBorder="1" applyProtection="1"/>
    <xf numFmtId="0" fontId="9" fillId="8" borderId="15" xfId="0" applyFont="1" applyFill="1" applyBorder="1" applyProtection="1"/>
    <xf numFmtId="178" fontId="43" fillId="8" borderId="34" xfId="0" applyNumberFormat="1" applyFont="1" applyFill="1" applyBorder="1" applyAlignment="1" applyProtection="1">
      <alignment horizontal="center"/>
    </xf>
    <xf numFmtId="177" fontId="43" fillId="0" borderId="34" xfId="20" applyNumberFormat="1" applyFont="1" applyFill="1" applyBorder="1" applyAlignment="1" applyProtection="1">
      <alignment horizontal="center" wrapText="1"/>
    </xf>
    <xf numFmtId="0" fontId="9" fillId="9" borderId="15" xfId="0" applyFont="1" applyFill="1" applyBorder="1" applyAlignment="1" applyProtection="1">
      <alignment horizontal="center"/>
    </xf>
    <xf numFmtId="0" fontId="9" fillId="9" borderId="15" xfId="0" applyFont="1" applyFill="1" applyBorder="1" applyProtection="1"/>
    <xf numFmtId="0" fontId="9" fillId="10" borderId="15" xfId="0" applyFont="1" applyFill="1" applyBorder="1" applyAlignment="1" applyProtection="1">
      <alignment horizontal="center"/>
    </xf>
    <xf numFmtId="0" fontId="9" fillId="10" borderId="15" xfId="0" applyFont="1" applyFill="1" applyBorder="1" applyProtection="1"/>
    <xf numFmtId="0" fontId="9" fillId="10" borderId="64" xfId="0" applyFont="1" applyFill="1" applyBorder="1" applyAlignment="1" applyProtection="1">
      <alignment horizontal="center"/>
    </xf>
    <xf numFmtId="0" fontId="9" fillId="10" borderId="64" xfId="0" applyFont="1" applyFill="1" applyBorder="1" applyProtection="1"/>
    <xf numFmtId="0" fontId="9" fillId="11" borderId="15" xfId="0" applyFont="1" applyFill="1" applyBorder="1" applyAlignment="1" applyProtection="1">
      <alignment horizontal="center"/>
    </xf>
    <xf numFmtId="0" fontId="9" fillId="11" borderId="15" xfId="0" applyFont="1" applyFill="1" applyBorder="1" applyProtection="1"/>
    <xf numFmtId="0" fontId="9" fillId="12" borderId="15" xfId="0" applyFont="1" applyFill="1" applyBorder="1" applyAlignment="1" applyProtection="1">
      <alignment horizontal="center"/>
    </xf>
    <xf numFmtId="0" fontId="9" fillId="12" borderId="15" xfId="0" applyFont="1" applyFill="1" applyBorder="1" applyProtection="1"/>
    <xf numFmtId="0" fontId="9" fillId="12" borderId="64" xfId="0" applyFont="1" applyFill="1" applyBorder="1" applyAlignment="1" applyProtection="1">
      <alignment horizontal="center"/>
    </xf>
    <xf numFmtId="0" fontId="9" fillId="12" borderId="64" xfId="0" applyFont="1" applyFill="1" applyBorder="1" applyProtection="1"/>
    <xf numFmtId="0" fontId="9" fillId="13" borderId="15" xfId="0" applyFont="1" applyFill="1" applyBorder="1" applyAlignment="1" applyProtection="1">
      <alignment horizontal="center"/>
    </xf>
    <xf numFmtId="0" fontId="9" fillId="13" borderId="15" xfId="0" applyFont="1" applyFill="1" applyBorder="1" applyProtection="1"/>
    <xf numFmtId="0" fontId="9" fillId="14" borderId="15" xfId="0" applyFont="1" applyFill="1" applyBorder="1" applyAlignment="1" applyProtection="1">
      <alignment horizontal="center"/>
    </xf>
    <xf numFmtId="0" fontId="9" fillId="14" borderId="15" xfId="0" applyFont="1" applyFill="1" applyBorder="1" applyProtection="1"/>
    <xf numFmtId="0" fontId="39" fillId="14" borderId="15" xfId="0" applyFont="1" applyFill="1" applyBorder="1" applyAlignment="1" applyProtection="1">
      <alignment horizontal="left"/>
    </xf>
    <xf numFmtId="0" fontId="39" fillId="13" borderId="15" xfId="0" applyFont="1" applyFill="1" applyBorder="1" applyAlignment="1" applyProtection="1">
      <alignment horizontal="left"/>
    </xf>
    <xf numFmtId="0" fontId="9" fillId="14" borderId="64" xfId="0" applyFont="1" applyFill="1" applyBorder="1" applyAlignment="1" applyProtection="1">
      <alignment horizontal="center"/>
    </xf>
    <xf numFmtId="0" fontId="9" fillId="14" borderId="64" xfId="0" applyFont="1" applyFill="1" applyBorder="1" applyProtection="1"/>
    <xf numFmtId="0" fontId="49" fillId="0" borderId="0" xfId="0" applyFont="1" applyFill="1" applyProtection="1"/>
    <xf numFmtId="174" fontId="8" fillId="7" borderId="4" xfId="20" applyNumberFormat="1" applyFont="1" applyFill="1" applyBorder="1" applyAlignment="1" applyProtection="1">
      <alignment horizontal="center"/>
    </xf>
    <xf numFmtId="3" fontId="8" fillId="7" borderId="48" xfId="20" applyNumberFormat="1" applyFont="1" applyFill="1" applyBorder="1" applyAlignment="1" applyProtection="1">
      <alignment horizontal="center"/>
      <protection locked="0"/>
    </xf>
    <xf numFmtId="4" fontId="43" fillId="8" borderId="56" xfId="0" applyNumberFormat="1" applyFont="1" applyFill="1" applyBorder="1" applyAlignment="1">
      <alignment horizontal="center"/>
    </xf>
    <xf numFmtId="174" fontId="8" fillId="7" borderId="4" xfId="20" applyNumberFormat="1" applyFont="1" applyFill="1" applyBorder="1" applyAlignment="1" applyProtection="1">
      <alignment horizontal="center"/>
      <protection locked="0"/>
    </xf>
    <xf numFmtId="174" fontId="8" fillId="7" borderId="4" xfId="20" applyNumberFormat="1" applyFont="1" applyFill="1" applyBorder="1" applyAlignment="1" applyProtection="1">
      <alignment horizontal="center"/>
      <protection locked="0"/>
    </xf>
    <xf numFmtId="0" fontId="50" fillId="0" borderId="0" xfId="20" applyFont="1" applyProtection="1">
      <protection locked="0"/>
    </xf>
    <xf numFmtId="0" fontId="3" fillId="0" borderId="0" xfId="20" applyFont="1" applyAlignment="1">
      <alignment horizontal="center" wrapText="1"/>
    </xf>
    <xf numFmtId="0" fontId="3" fillId="0" borderId="4" xfId="30" applyFont="1" applyBorder="1" applyAlignment="1">
      <alignment horizontal="center"/>
    </xf>
    <xf numFmtId="0" fontId="18" fillId="0" borderId="4" xfId="30" applyFont="1" applyBorder="1"/>
    <xf numFmtId="0" fontId="3" fillId="7" borderId="4" xfId="30" applyFont="1" applyFill="1" applyBorder="1" applyAlignment="1" applyProtection="1">
      <alignment horizontal="center" wrapText="1"/>
      <protection locked="0"/>
    </xf>
    <xf numFmtId="0" fontId="3" fillId="0" borderId="0" xfId="30" applyFont="1"/>
    <xf numFmtId="0" fontId="3" fillId="0" borderId="4" xfId="30" applyFont="1" applyBorder="1" applyAlignment="1">
      <alignment wrapText="1"/>
    </xf>
    <xf numFmtId="0" fontId="3" fillId="7" borderId="4" xfId="30" applyFont="1" applyFill="1" applyBorder="1" applyAlignment="1" applyProtection="1">
      <alignment horizontal="center"/>
      <protection locked="0"/>
    </xf>
    <xf numFmtId="0" fontId="3" fillId="0" borderId="4" xfId="30" applyFont="1" applyBorder="1"/>
    <xf numFmtId="4" fontId="53" fillId="0" borderId="4" xfId="30" applyNumberFormat="1" applyFont="1" applyFill="1" applyBorder="1"/>
    <xf numFmtId="4" fontId="3" fillId="7" borderId="4" xfId="30" applyNumberFormat="1" applyFont="1" applyFill="1" applyBorder="1" applyProtection="1">
      <protection locked="0"/>
    </xf>
    <xf numFmtId="4" fontId="53" fillId="0" borderId="4" xfId="30" applyNumberFormat="1" applyFont="1" applyBorder="1"/>
    <xf numFmtId="0" fontId="4" fillId="0" borderId="4" xfId="30" applyFont="1" applyBorder="1"/>
    <xf numFmtId="4" fontId="16" fillId="16" borderId="4" xfId="30" applyNumberFormat="1" applyFont="1" applyFill="1" applyBorder="1"/>
    <xf numFmtId="0" fontId="3" fillId="0" borderId="0" xfId="30" applyFont="1" applyAlignment="1">
      <alignment horizontal="center"/>
    </xf>
    <xf numFmtId="4" fontId="3" fillId="0" borderId="0" xfId="30" applyNumberFormat="1" applyFont="1"/>
    <xf numFmtId="0" fontId="1" fillId="0" borderId="66" xfId="20" applyFont="1" applyBorder="1" applyAlignment="1">
      <alignment horizontal="left" wrapText="1"/>
    </xf>
    <xf numFmtId="4" fontId="35" fillId="4" borderId="32" xfId="9" applyNumberFormat="1" applyFont="1" applyFill="1" applyBorder="1" applyAlignment="1" applyProtection="1">
      <protection locked="0"/>
    </xf>
    <xf numFmtId="0" fontId="8" fillId="7" borderId="48" xfId="20" applyFont="1" applyFill="1" applyBorder="1" applyAlignment="1" applyProtection="1">
      <alignment horizontal="center"/>
      <protection locked="0"/>
    </xf>
    <xf numFmtId="171" fontId="8" fillId="7" borderId="48" xfId="20" applyNumberFormat="1" applyFont="1" applyFill="1" applyBorder="1" applyAlignment="1" applyProtection="1">
      <alignment horizontal="center"/>
      <protection locked="0"/>
    </xf>
    <xf numFmtId="171" fontId="8" fillId="7" borderId="33" xfId="20" applyNumberFormat="1" applyFont="1" applyFill="1" applyBorder="1" applyAlignment="1" applyProtection="1">
      <alignment horizontal="center"/>
      <protection locked="0"/>
    </xf>
    <xf numFmtId="4" fontId="8" fillId="7" borderId="48" xfId="20" applyNumberFormat="1" applyFont="1" applyFill="1" applyBorder="1" applyAlignment="1" applyProtection="1">
      <alignment horizontal="center"/>
      <protection locked="0"/>
    </xf>
    <xf numFmtId="4" fontId="21" fillId="7" borderId="5" xfId="20" applyNumberFormat="1" applyFont="1" applyFill="1" applyBorder="1" applyAlignment="1">
      <alignment horizontal="right"/>
    </xf>
    <xf numFmtId="179" fontId="34" fillId="7" borderId="4" xfId="20" applyNumberFormat="1" applyFont="1" applyFill="1" applyBorder="1" applyAlignment="1" applyProtection="1">
      <alignment horizontal="center" wrapText="1"/>
      <protection locked="0"/>
    </xf>
    <xf numFmtId="180" fontId="34" fillId="4" borderId="4" xfId="20" applyNumberFormat="1" applyFont="1" applyFill="1" applyBorder="1" applyAlignment="1" applyProtection="1">
      <alignment horizontal="center" wrapText="1"/>
      <protection locked="0"/>
    </xf>
    <xf numFmtId="177" fontId="8" fillId="7" borderId="48" xfId="20" applyNumberFormat="1" applyFont="1" applyFill="1" applyBorder="1" applyAlignment="1" applyProtection="1">
      <alignment horizontal="center" wrapText="1"/>
      <protection locked="0"/>
    </xf>
    <xf numFmtId="0" fontId="8" fillId="7" borderId="4" xfId="20" applyFont="1" applyFill="1" applyBorder="1" applyAlignment="1" applyProtection="1">
      <alignment horizontal="center"/>
      <protection locked="0"/>
    </xf>
    <xf numFmtId="175" fontId="1" fillId="0" borderId="0" xfId="0" applyNumberFormat="1" applyFont="1" applyAlignment="1">
      <alignment horizontal="left"/>
    </xf>
    <xf numFmtId="0" fontId="13" fillId="0" borderId="0" xfId="0" applyFont="1"/>
    <xf numFmtId="171" fontId="3" fillId="7" borderId="4" xfId="30" applyNumberFormat="1" applyFont="1" applyFill="1" applyBorder="1" applyAlignment="1" applyProtection="1">
      <alignment horizontal="center"/>
      <protection locked="0"/>
    </xf>
    <xf numFmtId="0" fontId="54" fillId="0" borderId="0" xfId="30" applyFont="1"/>
    <xf numFmtId="0" fontId="55" fillId="0" borderId="0" xfId="30" applyFont="1" applyAlignment="1">
      <alignment wrapText="1"/>
    </xf>
    <xf numFmtId="0" fontId="54" fillId="0" borderId="0" xfId="30" applyFont="1" applyAlignment="1">
      <alignment wrapText="1"/>
    </xf>
    <xf numFmtId="0" fontId="3" fillId="0" borderId="0" xfId="30" applyFont="1" applyAlignment="1">
      <alignment wrapText="1"/>
    </xf>
    <xf numFmtId="0" fontId="1" fillId="0" borderId="15" xfId="20" applyFont="1" applyBorder="1" applyAlignment="1">
      <alignment horizontal="center"/>
    </xf>
    <xf numFmtId="0" fontId="57" fillId="0" borderId="0" xfId="20" applyFont="1" applyAlignment="1">
      <alignment horizontal="center" wrapText="1"/>
    </xf>
    <xf numFmtId="17" fontId="58" fillId="0" borderId="4" xfId="20" applyNumberFormat="1" applyFont="1" applyFill="1" applyBorder="1" applyAlignment="1">
      <alignment horizontal="center" wrapText="1"/>
    </xf>
    <xf numFmtId="0" fontId="45" fillId="17" borderId="34" xfId="0" applyFont="1" applyFill="1" applyBorder="1" applyAlignment="1">
      <alignment vertical="top"/>
    </xf>
    <xf numFmtId="0" fontId="45" fillId="17" borderId="34" xfId="0" applyFont="1" applyFill="1" applyBorder="1" applyAlignment="1"/>
    <xf numFmtId="0" fontId="45" fillId="17" borderId="11" xfId="0" applyFont="1" applyFill="1" applyBorder="1" applyAlignment="1"/>
    <xf numFmtId="17" fontId="8" fillId="17" borderId="4" xfId="20" applyNumberFormat="1" applyFont="1" applyFill="1" applyBorder="1" applyAlignment="1">
      <alignment horizontal="center" wrapText="1"/>
    </xf>
    <xf numFmtId="0" fontId="1" fillId="17" borderId="34" xfId="20" applyFont="1" applyFill="1" applyBorder="1"/>
    <xf numFmtId="0" fontId="11" fillId="17" borderId="34" xfId="20" applyFont="1" applyFill="1" applyBorder="1"/>
    <xf numFmtId="0" fontId="20" fillId="17" borderId="34" xfId="20" applyFont="1" applyFill="1" applyBorder="1"/>
    <xf numFmtId="0" fontId="1" fillId="17" borderId="15" xfId="20" applyFont="1" applyFill="1" applyBorder="1"/>
    <xf numFmtId="0" fontId="20" fillId="17" borderId="34" xfId="20" applyFont="1" applyFill="1" applyBorder="1" applyProtection="1">
      <protection locked="0"/>
    </xf>
    <xf numFmtId="0" fontId="7" fillId="17" borderId="34" xfId="20" applyFont="1" applyFill="1" applyBorder="1" applyAlignment="1">
      <alignment horizontal="left"/>
    </xf>
    <xf numFmtId="0" fontId="11" fillId="0" borderId="34" xfId="20" applyFont="1" applyBorder="1" applyAlignment="1">
      <alignment horizontal="center" wrapText="1"/>
    </xf>
    <xf numFmtId="0" fontId="11" fillId="18" borderId="24" xfId="20" applyFont="1" applyFill="1" applyBorder="1" applyAlignment="1">
      <alignment horizontal="center"/>
    </xf>
    <xf numFmtId="0" fontId="11" fillId="18" borderId="5" xfId="20" applyFont="1" applyFill="1" applyBorder="1" applyAlignment="1">
      <alignment horizontal="center"/>
    </xf>
    <xf numFmtId="0" fontId="11" fillId="18" borderId="25" xfId="20" applyFont="1" applyFill="1" applyBorder="1" applyAlignment="1">
      <alignment horizontal="center"/>
    </xf>
    <xf numFmtId="0" fontId="1" fillId="18" borderId="24" xfId="20" applyFont="1" applyFill="1" applyBorder="1" applyAlignment="1" applyProtection="1">
      <alignment horizontal="center"/>
    </xf>
    <xf numFmtId="0" fontId="1" fillId="18" borderId="5" xfId="20" applyFont="1" applyFill="1" applyBorder="1" applyAlignment="1" applyProtection="1">
      <alignment horizontal="center"/>
    </xf>
    <xf numFmtId="0" fontId="1" fillId="18" borderId="25" xfId="20" applyFont="1" applyFill="1" applyBorder="1" applyAlignment="1" applyProtection="1">
      <alignment horizontal="center"/>
    </xf>
    <xf numFmtId="0" fontId="1" fillId="4" borderId="24" xfId="20" applyFont="1" applyFill="1" applyBorder="1" applyAlignment="1" applyProtection="1">
      <alignment horizontal="center"/>
      <protection locked="0"/>
    </xf>
    <xf numFmtId="0" fontId="20" fillId="18" borderId="24" xfId="20" applyFont="1" applyFill="1" applyBorder="1" applyAlignment="1">
      <alignment horizontal="center" wrapText="1"/>
    </xf>
    <xf numFmtId="0" fontId="20" fillId="18" borderId="5" xfId="20" applyFont="1" applyFill="1" applyBorder="1" applyAlignment="1">
      <alignment horizontal="center" wrapText="1"/>
    </xf>
    <xf numFmtId="0" fontId="20" fillId="18" borderId="25" xfId="20" applyFont="1" applyFill="1" applyBorder="1" applyAlignment="1">
      <alignment horizontal="center" wrapText="1"/>
    </xf>
    <xf numFmtId="0" fontId="20" fillId="18" borderId="24" xfId="20" applyFont="1" applyFill="1" applyBorder="1" applyAlignment="1">
      <alignment horizontal="center"/>
    </xf>
    <xf numFmtId="0" fontId="20" fillId="18" borderId="5" xfId="20" applyFont="1" applyFill="1" applyBorder="1" applyAlignment="1">
      <alignment horizontal="center"/>
    </xf>
    <xf numFmtId="0" fontId="20" fillId="18" borderId="25" xfId="20" applyFont="1" applyFill="1" applyBorder="1" applyAlignment="1">
      <alignment horizontal="center"/>
    </xf>
    <xf numFmtId="0" fontId="20" fillId="18" borderId="21" xfId="20" applyFont="1" applyFill="1" applyBorder="1" applyAlignment="1">
      <alignment horizontal="center" wrapText="1"/>
    </xf>
    <xf numFmtId="0" fontId="20" fillId="18" borderId="22" xfId="20" applyFont="1" applyFill="1" applyBorder="1" applyAlignment="1">
      <alignment horizontal="center" wrapText="1"/>
    </xf>
    <xf numFmtId="0" fontId="20" fillId="18" borderId="26" xfId="20" applyFont="1" applyFill="1" applyBorder="1" applyAlignment="1">
      <alignment horizontal="center" wrapText="1"/>
    </xf>
    <xf numFmtId="0" fontId="1" fillId="0" borderId="46" xfId="20" applyFont="1" applyBorder="1" applyAlignment="1">
      <alignment horizontal="center"/>
    </xf>
    <xf numFmtId="0" fontId="1" fillId="0" borderId="18" xfId="20" applyFont="1" applyBorder="1" applyAlignment="1">
      <alignment horizontal="center"/>
    </xf>
    <xf numFmtId="0" fontId="1" fillId="0" borderId="59" xfId="20" applyFont="1" applyBorder="1" applyAlignment="1">
      <alignment horizontal="center"/>
    </xf>
    <xf numFmtId="0" fontId="1" fillId="0" borderId="22" xfId="20" applyFont="1" applyBorder="1" applyAlignment="1">
      <alignment horizontal="center"/>
    </xf>
    <xf numFmtId="0" fontId="1" fillId="0" borderId="60" xfId="20" applyFont="1" applyBorder="1" applyAlignment="1">
      <alignment horizontal="center"/>
    </xf>
    <xf numFmtId="0" fontId="1" fillId="0" borderId="67" xfId="20" applyFont="1" applyBorder="1" applyAlignment="1">
      <alignment horizontal="center"/>
    </xf>
    <xf numFmtId="0" fontId="1" fillId="0" borderId="37" xfId="20" applyFont="1" applyBorder="1" applyAlignment="1">
      <alignment horizontal="center"/>
    </xf>
    <xf numFmtId="0" fontId="20" fillId="18" borderId="68" xfId="20" applyFont="1" applyFill="1" applyBorder="1" applyAlignment="1">
      <alignment horizontal="center" wrapText="1"/>
    </xf>
    <xf numFmtId="0" fontId="20" fillId="18" borderId="67" xfId="20" applyFont="1" applyFill="1" applyBorder="1" applyAlignment="1">
      <alignment horizontal="center" wrapText="1"/>
    </xf>
    <xf numFmtId="0" fontId="20" fillId="18" borderId="69" xfId="20" applyFont="1" applyFill="1" applyBorder="1" applyAlignment="1">
      <alignment horizontal="center" wrapText="1"/>
    </xf>
    <xf numFmtId="0" fontId="1" fillId="18" borderId="70" xfId="20" applyFont="1" applyFill="1" applyBorder="1" applyAlignment="1" applyProtection="1">
      <alignment horizontal="center"/>
    </xf>
    <xf numFmtId="0" fontId="1" fillId="18" borderId="6" xfId="20" applyFont="1" applyFill="1" applyBorder="1" applyAlignment="1" applyProtection="1">
      <alignment horizontal="center"/>
    </xf>
    <xf numFmtId="0" fontId="1" fillId="18" borderId="71" xfId="20" applyFont="1" applyFill="1" applyBorder="1" applyAlignment="1" applyProtection="1">
      <alignment horizontal="center"/>
    </xf>
    <xf numFmtId="0" fontId="20" fillId="0" borderId="72" xfId="20" applyFont="1" applyFill="1" applyBorder="1" applyAlignment="1">
      <alignment horizontal="center"/>
    </xf>
    <xf numFmtId="0" fontId="20" fillId="0" borderId="73" xfId="20" applyFont="1" applyFill="1" applyBorder="1" applyAlignment="1">
      <alignment horizontal="center"/>
    </xf>
    <xf numFmtId="0" fontId="20" fillId="0" borderId="74" xfId="20" applyFont="1" applyFill="1" applyBorder="1" applyAlignment="1">
      <alignment horizontal="center"/>
    </xf>
    <xf numFmtId="0" fontId="1" fillId="4" borderId="78" xfId="20" applyFont="1" applyFill="1" applyBorder="1" applyAlignment="1" applyProtection="1">
      <alignment horizontal="center"/>
      <protection locked="0"/>
    </xf>
    <xf numFmtId="0" fontId="1" fillId="4" borderId="79" xfId="20" applyFont="1" applyFill="1" applyBorder="1" applyAlignment="1" applyProtection="1">
      <alignment horizontal="center"/>
      <protection locked="0"/>
    </xf>
    <xf numFmtId="0" fontId="0" fillId="0" borderId="80" xfId="0" applyBorder="1"/>
    <xf numFmtId="0" fontId="0" fillId="0" borderId="47" xfId="0" applyBorder="1"/>
    <xf numFmtId="0" fontId="0" fillId="0" borderId="81" xfId="0" applyBorder="1"/>
    <xf numFmtId="0" fontId="1" fillId="8" borderId="41" xfId="20" applyFont="1" applyFill="1" applyBorder="1" applyProtection="1"/>
    <xf numFmtId="0" fontId="1" fillId="8" borderId="17" xfId="20" applyFont="1" applyFill="1" applyBorder="1" applyProtection="1"/>
    <xf numFmtId="0" fontId="1" fillId="8" borderId="16" xfId="20" applyFont="1" applyFill="1" applyBorder="1" applyProtection="1"/>
    <xf numFmtId="170" fontId="7" fillId="4" borderId="32" xfId="20" applyNumberFormat="1" applyFont="1" applyFill="1" applyBorder="1" applyProtection="1">
      <protection locked="0"/>
    </xf>
    <xf numFmtId="170" fontId="7" fillId="4" borderId="10" xfId="20" applyNumberFormat="1" applyFont="1" applyFill="1" applyBorder="1" applyProtection="1">
      <protection locked="0"/>
    </xf>
    <xf numFmtId="0" fontId="1" fillId="0" borderId="36" xfId="20" applyFont="1" applyBorder="1" applyAlignment="1">
      <alignment horizontal="center"/>
    </xf>
    <xf numFmtId="0" fontId="1" fillId="0" borderId="17" xfId="20" applyFont="1" applyFill="1" applyBorder="1"/>
    <xf numFmtId="4" fontId="7" fillId="0" borderId="18" xfId="20" applyNumberFormat="1" applyFont="1" applyFill="1" applyBorder="1" applyAlignment="1">
      <alignment horizontal="right"/>
    </xf>
    <xf numFmtId="4" fontId="7" fillId="0" borderId="5" xfId="20" applyNumberFormat="1" applyFont="1" applyFill="1" applyBorder="1" applyAlignment="1">
      <alignment horizontal="right"/>
    </xf>
    <xf numFmtId="9" fontId="1" fillId="4" borderId="0" xfId="20" applyNumberFormat="1" applyFont="1" applyFill="1" applyProtection="1">
      <protection locked="0"/>
    </xf>
    <xf numFmtId="10" fontId="1" fillId="4" borderId="0" xfId="20" applyNumberFormat="1" applyFont="1" applyFill="1" applyProtection="1">
      <protection locked="0"/>
    </xf>
    <xf numFmtId="0" fontId="63" fillId="0" borderId="0" xfId="0" applyFont="1" applyFill="1" applyProtection="1"/>
    <xf numFmtId="0" fontId="43" fillId="8" borderId="14" xfId="0" applyFont="1" applyFill="1" applyBorder="1" applyAlignment="1" applyProtection="1">
      <alignment horizontal="center" wrapText="1"/>
    </xf>
    <xf numFmtId="0" fontId="43" fillId="0" borderId="34" xfId="0" applyFont="1" applyBorder="1" applyAlignment="1" applyProtection="1">
      <alignment horizontal="center"/>
    </xf>
    <xf numFmtId="0" fontId="43" fillId="0" borderId="19" xfId="0" applyFont="1" applyBorder="1" applyAlignment="1" applyProtection="1">
      <alignment horizontal="center"/>
    </xf>
    <xf numFmtId="0" fontId="48" fillId="0" borderId="12" xfId="0" applyFont="1" applyBorder="1" applyProtection="1"/>
    <xf numFmtId="0" fontId="48" fillId="0" borderId="14" xfId="0" applyFont="1" applyBorder="1" applyProtection="1"/>
    <xf numFmtId="178" fontId="43" fillId="8" borderId="19" xfId="0" applyNumberFormat="1" applyFont="1" applyFill="1" applyBorder="1" applyAlignment="1" applyProtection="1">
      <alignment horizontal="center"/>
    </xf>
    <xf numFmtId="0" fontId="48" fillId="0" borderId="15" xfId="0" applyFont="1" applyBorder="1" applyProtection="1"/>
    <xf numFmtId="0" fontId="48" fillId="0" borderId="19" xfId="0" applyFont="1" applyBorder="1" applyProtection="1"/>
    <xf numFmtId="1" fontId="43" fillId="8" borderId="34" xfId="0" applyNumberFormat="1" applyFont="1" applyFill="1" applyBorder="1" applyAlignment="1" applyProtection="1">
      <alignment horizontal="center"/>
    </xf>
    <xf numFmtId="1" fontId="43" fillId="8" borderId="19" xfId="0" applyNumberFormat="1" applyFont="1" applyFill="1" applyBorder="1" applyAlignment="1" applyProtection="1">
      <alignment horizontal="center"/>
    </xf>
    <xf numFmtId="0" fontId="9" fillId="20" borderId="0" xfId="0" applyFont="1" applyFill="1" applyAlignment="1" applyProtection="1">
      <alignment horizontal="center"/>
    </xf>
    <xf numFmtId="0" fontId="64" fillId="0" borderId="34" xfId="0" applyFont="1" applyBorder="1" applyAlignment="1" applyProtection="1">
      <alignment horizontal="center"/>
    </xf>
    <xf numFmtId="0" fontId="64" fillId="0" borderId="19" xfId="0" applyFont="1" applyBorder="1" applyAlignment="1" applyProtection="1">
      <alignment horizontal="center"/>
    </xf>
    <xf numFmtId="4" fontId="44" fillId="9" borderId="19" xfId="0" applyNumberFormat="1" applyFont="1" applyFill="1" applyBorder="1" applyAlignment="1" applyProtection="1">
      <alignment horizontal="right"/>
    </xf>
    <xf numFmtId="4" fontId="44" fillId="10" borderId="19" xfId="0" applyNumberFormat="1" applyFont="1" applyFill="1" applyBorder="1" applyAlignment="1" applyProtection="1">
      <alignment horizontal="right"/>
    </xf>
    <xf numFmtId="0" fontId="48" fillId="0" borderId="63" xfId="0" applyFont="1" applyBorder="1" applyProtection="1"/>
    <xf numFmtId="0" fontId="48" fillId="0" borderId="56" xfId="0" applyFont="1" applyBorder="1" applyProtection="1"/>
    <xf numFmtId="4" fontId="43" fillId="10" borderId="48" xfId="0" applyNumberFormat="1" applyFont="1" applyFill="1" applyBorder="1" applyAlignment="1" applyProtection="1">
      <alignment horizontal="right"/>
    </xf>
    <xf numFmtId="4" fontId="44" fillId="11" borderId="19" xfId="0" applyNumberFormat="1" applyFont="1" applyFill="1" applyBorder="1" applyAlignment="1" applyProtection="1">
      <alignment horizontal="right"/>
    </xf>
    <xf numFmtId="4" fontId="44" fillId="12" borderId="19" xfId="0" applyNumberFormat="1" applyFont="1" applyFill="1" applyBorder="1" applyAlignment="1" applyProtection="1">
      <alignment horizontal="right"/>
    </xf>
    <xf numFmtId="4" fontId="43" fillId="12" borderId="48" xfId="0" applyNumberFormat="1" applyFont="1" applyFill="1" applyBorder="1" applyAlignment="1" applyProtection="1">
      <alignment horizontal="right"/>
    </xf>
    <xf numFmtId="4" fontId="44" fillId="13" borderId="19" xfId="0" applyNumberFormat="1" applyFont="1" applyFill="1" applyBorder="1" applyAlignment="1" applyProtection="1">
      <alignment horizontal="right"/>
    </xf>
    <xf numFmtId="4" fontId="44" fillId="14" borderId="19" xfId="0" applyNumberFormat="1" applyFont="1" applyFill="1" applyBorder="1" applyAlignment="1" applyProtection="1">
      <alignment horizontal="right"/>
    </xf>
    <xf numFmtId="4" fontId="43" fillId="14" borderId="19" xfId="0" applyNumberFormat="1" applyFont="1" applyFill="1" applyBorder="1" applyAlignment="1" applyProtection="1">
      <alignment horizontal="right"/>
    </xf>
    <xf numFmtId="0" fontId="9" fillId="19" borderId="0" xfId="0" applyFont="1" applyFill="1" applyAlignment="1" applyProtection="1">
      <alignment horizontal="center"/>
    </xf>
    <xf numFmtId="3" fontId="39" fillId="14" borderId="19" xfId="0" applyNumberFormat="1" applyFont="1" applyFill="1" applyBorder="1" applyAlignment="1" applyProtection="1">
      <alignment horizontal="left"/>
    </xf>
    <xf numFmtId="3" fontId="39" fillId="13" borderId="19" xfId="0" applyNumberFormat="1" applyFont="1" applyFill="1" applyBorder="1" applyAlignment="1" applyProtection="1">
      <alignment horizontal="left"/>
    </xf>
    <xf numFmtId="4" fontId="43" fillId="14" borderId="48" xfId="0" applyNumberFormat="1" applyFont="1" applyFill="1" applyBorder="1" applyAlignment="1" applyProtection="1">
      <alignment horizontal="right"/>
    </xf>
    <xf numFmtId="0" fontId="39" fillId="0" borderId="0" xfId="0" applyFont="1" applyAlignment="1" applyProtection="1">
      <alignment horizontal="center"/>
    </xf>
    <xf numFmtId="0" fontId="39" fillId="0" borderId="0" xfId="0" applyFont="1" applyAlignment="1" applyProtection="1">
      <alignment horizontal="left"/>
    </xf>
    <xf numFmtId="177" fontId="43" fillId="0" borderId="19" xfId="20" applyNumberFormat="1" applyFont="1" applyFill="1" applyBorder="1" applyAlignment="1" applyProtection="1">
      <alignment horizontal="center" wrapText="1"/>
    </xf>
    <xf numFmtId="2" fontId="43" fillId="0" borderId="34" xfId="20" applyNumberFormat="1" applyFont="1" applyFill="1" applyBorder="1" applyAlignment="1" applyProtection="1">
      <alignment horizontal="center" wrapText="1"/>
    </xf>
    <xf numFmtId="2" fontId="43" fillId="0" borderId="19" xfId="20" applyNumberFormat="1" applyFont="1" applyFill="1" applyBorder="1" applyAlignment="1" applyProtection="1">
      <alignment horizontal="center" wrapText="1"/>
    </xf>
    <xf numFmtId="0" fontId="43" fillId="8" borderId="82" xfId="0" applyFont="1" applyFill="1" applyBorder="1" applyAlignment="1" applyProtection="1">
      <alignment horizontal="center" wrapText="1"/>
    </xf>
    <xf numFmtId="0" fontId="43" fillId="0" borderId="83" xfId="0" applyFont="1" applyBorder="1" applyAlignment="1" applyProtection="1">
      <alignment horizontal="center"/>
    </xf>
    <xf numFmtId="178" fontId="43" fillId="8" borderId="83" xfId="0" applyNumberFormat="1" applyFont="1" applyFill="1" applyBorder="1" applyAlignment="1" applyProtection="1">
      <alignment horizontal="center"/>
    </xf>
    <xf numFmtId="177" fontId="43" fillId="0" borderId="83" xfId="20" applyNumberFormat="1" applyFont="1" applyFill="1" applyBorder="1" applyAlignment="1" applyProtection="1">
      <alignment horizontal="center" wrapText="1"/>
    </xf>
    <xf numFmtId="1" fontId="43" fillId="8" borderId="83" xfId="0" applyNumberFormat="1" applyFont="1" applyFill="1" applyBorder="1" applyAlignment="1" applyProtection="1">
      <alignment horizontal="center"/>
    </xf>
    <xf numFmtId="2" fontId="43" fillId="0" borderId="83" xfId="20" applyNumberFormat="1" applyFont="1" applyFill="1" applyBorder="1" applyAlignment="1" applyProtection="1">
      <alignment horizontal="center" wrapText="1"/>
    </xf>
    <xf numFmtId="0" fontId="64" fillId="0" borderId="83" xfId="0" applyFont="1" applyBorder="1" applyAlignment="1" applyProtection="1">
      <alignment horizontal="center"/>
    </xf>
    <xf numFmtId="17" fontId="47" fillId="0" borderId="0" xfId="0" applyNumberFormat="1" applyFont="1" applyFill="1" applyProtection="1"/>
    <xf numFmtId="0" fontId="44" fillId="0" borderId="19" xfId="0" applyFont="1" applyBorder="1" applyProtection="1"/>
    <xf numFmtId="0" fontId="9" fillId="0" borderId="47" xfId="0" applyFont="1" applyBorder="1" applyProtection="1"/>
    <xf numFmtId="0" fontId="9" fillId="9" borderId="0" xfId="0" applyFont="1" applyFill="1" applyBorder="1" applyAlignment="1" applyProtection="1">
      <alignment horizontal="right" wrapText="1"/>
    </xf>
    <xf numFmtId="4" fontId="9" fillId="0" borderId="0" xfId="0" applyNumberFormat="1" applyFont="1" applyProtection="1"/>
    <xf numFmtId="0" fontId="9" fillId="10" borderId="0" xfId="0" applyFont="1" applyFill="1" applyBorder="1" applyAlignment="1" applyProtection="1">
      <alignment horizontal="right" wrapText="1"/>
    </xf>
    <xf numFmtId="2" fontId="9" fillId="0" borderId="0" xfId="0" applyNumberFormat="1" applyFont="1" applyProtection="1"/>
    <xf numFmtId="0" fontId="9" fillId="10" borderId="36" xfId="0" applyFont="1" applyFill="1" applyBorder="1" applyAlignment="1" applyProtection="1">
      <alignment horizontal="right" wrapText="1"/>
    </xf>
    <xf numFmtId="0" fontId="9" fillId="11" borderId="0" xfId="0" applyFont="1" applyFill="1" applyBorder="1" applyAlignment="1" applyProtection="1">
      <alignment horizontal="right" wrapText="1"/>
    </xf>
    <xf numFmtId="0" fontId="9" fillId="12" borderId="0" xfId="0" applyFont="1" applyFill="1" applyBorder="1" applyAlignment="1" applyProtection="1">
      <alignment horizontal="right" wrapText="1"/>
    </xf>
    <xf numFmtId="0" fontId="9" fillId="12" borderId="36" xfId="0" applyFont="1" applyFill="1" applyBorder="1" applyAlignment="1" applyProtection="1">
      <alignment horizontal="right" wrapText="1"/>
    </xf>
    <xf numFmtId="0" fontId="9" fillId="13" borderId="0" xfId="0" applyFont="1" applyFill="1" applyBorder="1" applyAlignment="1" applyProtection="1">
      <alignment horizontal="right" wrapText="1"/>
    </xf>
    <xf numFmtId="0" fontId="9" fillId="14" borderId="0" xfId="0" applyFont="1" applyFill="1" applyBorder="1" applyAlignment="1" applyProtection="1">
      <alignment horizontal="right" wrapText="1"/>
    </xf>
    <xf numFmtId="0" fontId="39" fillId="14" borderId="0" xfId="0" applyFont="1" applyFill="1" applyBorder="1" applyAlignment="1" applyProtection="1">
      <alignment horizontal="right" wrapText="1"/>
    </xf>
    <xf numFmtId="0" fontId="39" fillId="13" borderId="0" xfId="0" applyFont="1" applyFill="1" applyBorder="1" applyAlignment="1" applyProtection="1">
      <alignment horizontal="right" wrapText="1"/>
    </xf>
    <xf numFmtId="0" fontId="9" fillId="14" borderId="36" xfId="0" applyFont="1" applyFill="1" applyBorder="1" applyAlignment="1" applyProtection="1">
      <alignment horizontal="right" wrapText="1"/>
    </xf>
    <xf numFmtId="4" fontId="7" fillId="8" borderId="60" xfId="20" applyNumberFormat="1" applyFont="1" applyFill="1" applyBorder="1" applyAlignment="1">
      <alignment horizontal="right"/>
    </xf>
    <xf numFmtId="4" fontId="7" fillId="8" borderId="18" xfId="20" applyNumberFormat="1" applyFont="1" applyFill="1" applyBorder="1" applyAlignment="1">
      <alignment horizontal="right"/>
    </xf>
    <xf numFmtId="0" fontId="1" fillId="4" borderId="0" xfId="20" applyFont="1" applyFill="1" applyAlignment="1" applyProtection="1">
      <alignment horizontal="right"/>
      <protection locked="0"/>
    </xf>
    <xf numFmtId="0" fontId="1" fillId="0" borderId="0" xfId="20" applyFont="1" applyFill="1" applyAlignment="1" applyProtection="1">
      <alignment horizontal="right"/>
    </xf>
    <xf numFmtId="4" fontId="7" fillId="0" borderId="0" xfId="20" applyNumberFormat="1" applyFont="1" applyFill="1" applyProtection="1"/>
    <xf numFmtId="10" fontId="1" fillId="0" borderId="0" xfId="20" applyNumberFormat="1" applyFont="1" applyFill="1" applyProtection="1"/>
    <xf numFmtId="0" fontId="24" fillId="7" borderId="0" xfId="0" applyFont="1" applyFill="1" applyAlignment="1" applyProtection="1">
      <alignment horizontal="center"/>
      <protection locked="0"/>
    </xf>
    <xf numFmtId="0" fontId="18" fillId="0" borderId="0" xfId="19" applyFont="1"/>
    <xf numFmtId="0" fontId="65" fillId="0" borderId="0" xfId="20" applyFont="1" applyFill="1" applyAlignment="1" applyProtection="1">
      <alignment horizontal="right"/>
    </xf>
    <xf numFmtId="4" fontId="66" fillId="0" borderId="0" xfId="20" applyNumberFormat="1" applyFont="1" applyFill="1" applyProtection="1"/>
    <xf numFmtId="9" fontId="65" fillId="0" borderId="0" xfId="20" applyNumberFormat="1" applyFont="1" applyFill="1" applyProtection="1"/>
    <xf numFmtId="0" fontId="60" fillId="0" borderId="0" xfId="20" applyFont="1" applyFill="1" applyProtection="1"/>
    <xf numFmtId="0" fontId="1" fillId="0" borderId="0" xfId="20" applyFont="1" applyProtection="1"/>
    <xf numFmtId="0" fontId="1" fillId="0" borderId="0" xfId="20" applyFont="1" applyAlignment="1" applyProtection="1">
      <alignment horizontal="center"/>
    </xf>
    <xf numFmtId="0" fontId="1" fillId="0" borderId="0" xfId="20" applyFont="1" applyAlignment="1" applyProtection="1">
      <alignment horizontal="right"/>
    </xf>
    <xf numFmtId="4" fontId="7" fillId="0" borderId="0" xfId="20" applyNumberFormat="1" applyFont="1" applyProtection="1"/>
    <xf numFmtId="0" fontId="7" fillId="0" borderId="0" xfId="20" applyFont="1" applyProtection="1"/>
    <xf numFmtId="0" fontId="1" fillId="0" borderId="0" xfId="20" applyNumberFormat="1" applyFont="1" applyProtection="1"/>
    <xf numFmtId="0" fontId="66" fillId="0" borderId="0" xfId="20" applyFont="1" applyProtection="1"/>
    <xf numFmtId="0" fontId="66" fillId="0" borderId="0" xfId="20" applyFont="1" applyAlignment="1" applyProtection="1">
      <alignment horizontal="center"/>
    </xf>
    <xf numFmtId="4" fontId="66" fillId="0" borderId="0" xfId="20" applyNumberFormat="1" applyFont="1" applyProtection="1"/>
    <xf numFmtId="10" fontId="7" fillId="0" borderId="0" xfId="20" applyNumberFormat="1" applyFont="1" applyProtection="1"/>
    <xf numFmtId="0" fontId="60" fillId="0" borderId="0" xfId="20" applyFont="1" applyProtection="1"/>
    <xf numFmtId="0" fontId="60" fillId="0" borderId="0" xfId="20" applyFont="1" applyAlignment="1" applyProtection="1">
      <alignment horizontal="center"/>
    </xf>
    <xf numFmtId="0" fontId="67" fillId="0" borderId="0" xfId="20" applyFont="1" applyProtection="1"/>
    <xf numFmtId="0" fontId="60" fillId="0" borderId="0" xfId="20" applyNumberFormat="1" applyFont="1" applyProtection="1"/>
    <xf numFmtId="181" fontId="67" fillId="0" borderId="0" xfId="57" applyNumberFormat="1" applyFont="1" applyProtection="1"/>
    <xf numFmtId="0" fontId="60" fillId="0" borderId="3" xfId="20" applyFont="1" applyBorder="1" applyProtection="1"/>
    <xf numFmtId="0" fontId="60" fillId="0" borderId="17" xfId="20" applyFont="1" applyBorder="1" applyProtection="1"/>
    <xf numFmtId="0" fontId="67" fillId="8" borderId="0" xfId="20" applyFont="1" applyFill="1" applyProtection="1"/>
    <xf numFmtId="0" fontId="60" fillId="0" borderId="52" xfId="20" applyFont="1" applyBorder="1" applyProtection="1"/>
    <xf numFmtId="0" fontId="60" fillId="0" borderId="55" xfId="20" applyFont="1" applyBorder="1" applyProtection="1"/>
    <xf numFmtId="0" fontId="68" fillId="0" borderId="36" xfId="20" applyFont="1" applyBorder="1" applyProtection="1"/>
    <xf numFmtId="0" fontId="68" fillId="0" borderId="50" xfId="20" applyFont="1" applyBorder="1" applyProtection="1"/>
    <xf numFmtId="0" fontId="69" fillId="0" borderId="3" xfId="20" applyFont="1" applyBorder="1" applyProtection="1"/>
    <xf numFmtId="0" fontId="69" fillId="0" borderId="17" xfId="20" applyFont="1" applyBorder="1" applyProtection="1"/>
    <xf numFmtId="0" fontId="60" fillId="17" borderId="0" xfId="20" applyFont="1" applyFill="1" applyAlignment="1" applyProtection="1">
      <alignment horizontal="center"/>
    </xf>
    <xf numFmtId="0" fontId="69" fillId="17" borderId="17" xfId="20" applyFont="1" applyFill="1" applyBorder="1" applyProtection="1"/>
    <xf numFmtId="0" fontId="70" fillId="17" borderId="0" xfId="20" applyFont="1" applyFill="1" applyProtection="1"/>
    <xf numFmtId="0" fontId="67" fillId="17" borderId="0" xfId="20" applyFont="1" applyFill="1" applyProtection="1"/>
    <xf numFmtId="0" fontId="69" fillId="0" borderId="36" xfId="20" applyFont="1" applyBorder="1" applyProtection="1"/>
    <xf numFmtId="2" fontId="20" fillId="0" borderId="5" xfId="20" applyNumberFormat="1" applyFont="1" applyFill="1" applyBorder="1" applyAlignment="1">
      <alignment horizontal="center"/>
    </xf>
    <xf numFmtId="2" fontId="20" fillId="0" borderId="5" xfId="0" applyNumberFormat="1" applyFont="1" applyBorder="1" applyAlignment="1">
      <alignment horizontal="center"/>
    </xf>
    <xf numFmtId="0" fontId="20" fillId="0" borderId="84" xfId="0" applyFont="1" applyBorder="1" applyAlignment="1">
      <alignment horizontal="center"/>
    </xf>
    <xf numFmtId="0" fontId="9" fillId="7" borderId="0" xfId="0" applyFont="1" applyFill="1" applyProtection="1">
      <protection locked="0"/>
    </xf>
    <xf numFmtId="17" fontId="9" fillId="7" borderId="0" xfId="0" applyNumberFormat="1" applyFont="1" applyFill="1" applyProtection="1">
      <protection locked="0"/>
    </xf>
    <xf numFmtId="0" fontId="1" fillId="0" borderId="24" xfId="20" applyFont="1" applyFill="1" applyBorder="1" applyAlignment="1" applyProtection="1">
      <alignment horizontal="center"/>
    </xf>
    <xf numFmtId="0" fontId="8" fillId="7" borderId="4" xfId="20" applyFont="1" applyFill="1" applyBorder="1" applyAlignment="1" applyProtection="1">
      <alignment horizontal="center" wrapText="1"/>
      <protection locked="0"/>
    </xf>
    <xf numFmtId="180" fontId="8" fillId="7" borderId="48" xfId="20" applyNumberFormat="1" applyFont="1" applyFill="1" applyBorder="1" applyAlignment="1" applyProtection="1">
      <alignment horizontal="center" wrapText="1"/>
      <protection locked="0"/>
    </xf>
    <xf numFmtId="4" fontId="1" fillId="7" borderId="14" xfId="9" applyNumberFormat="1" applyFont="1" applyFill="1" applyBorder="1" applyAlignment="1" applyProtection="1">
      <protection locked="0"/>
    </xf>
    <xf numFmtId="4" fontId="1" fillId="7" borderId="27" xfId="9" applyNumberFormat="1" applyFont="1" applyFill="1" applyBorder="1" applyAlignment="1" applyProtection="1">
      <protection locked="0"/>
    </xf>
    <xf numFmtId="4" fontId="1" fillId="7" borderId="56" xfId="9" applyNumberFormat="1" applyFont="1" applyFill="1" applyBorder="1" applyAlignment="1" applyProtection="1">
      <protection locked="0"/>
    </xf>
    <xf numFmtId="4" fontId="1" fillId="7" borderId="57" xfId="9" applyNumberFormat="1" applyFont="1" applyFill="1" applyBorder="1" applyAlignment="1" applyProtection="1">
      <protection locked="0"/>
    </xf>
    <xf numFmtId="4" fontId="1" fillId="7" borderId="48" xfId="9" applyNumberFormat="1" applyFont="1" applyFill="1" applyBorder="1" applyAlignment="1" applyProtection="1">
      <alignment horizontal="center"/>
      <protection locked="0"/>
    </xf>
    <xf numFmtId="4" fontId="1" fillId="7" borderId="48" xfId="9" applyNumberFormat="1" applyFont="1" applyFill="1" applyBorder="1" applyAlignment="1" applyProtection="1">
      <protection locked="0"/>
    </xf>
    <xf numFmtId="2" fontId="8" fillId="7" borderId="8" xfId="20" applyNumberFormat="1" applyFont="1" applyFill="1" applyBorder="1" applyAlignment="1" applyProtection="1">
      <alignment horizontal="center" wrapText="1"/>
      <protection locked="0"/>
    </xf>
    <xf numFmtId="2" fontId="8" fillId="7" borderId="27" xfId="20" applyNumberFormat="1" applyFont="1" applyFill="1" applyBorder="1" applyAlignment="1" applyProtection="1">
      <alignment horizontal="center" wrapText="1"/>
      <protection locked="0"/>
    </xf>
    <xf numFmtId="171" fontId="8" fillId="7" borderId="27" xfId="20" applyNumberFormat="1" applyFont="1" applyFill="1" applyBorder="1" applyAlignment="1" applyProtection="1">
      <alignment horizontal="center"/>
      <protection locked="0"/>
    </xf>
    <xf numFmtId="3" fontId="1" fillId="7" borderId="48" xfId="9" applyNumberFormat="1" applyFont="1" applyFill="1" applyBorder="1" applyAlignment="1" applyProtection="1">
      <alignment horizontal="center"/>
      <protection locked="0"/>
    </xf>
    <xf numFmtId="3" fontId="1" fillId="7" borderId="8" xfId="9" applyNumberFormat="1" applyFont="1" applyFill="1" applyBorder="1" applyAlignment="1" applyProtection="1">
      <alignment horizontal="center"/>
      <protection locked="0"/>
    </xf>
    <xf numFmtId="3" fontId="1" fillId="7" borderId="57" xfId="9" applyNumberFormat="1" applyFont="1" applyFill="1" applyBorder="1" applyAlignment="1" applyProtection="1">
      <alignment horizontal="center"/>
      <protection locked="0"/>
    </xf>
    <xf numFmtId="170" fontId="7" fillId="7" borderId="8" xfId="20" applyNumberFormat="1" applyFont="1" applyFill="1" applyBorder="1" applyProtection="1">
      <protection locked="0"/>
    </xf>
    <xf numFmtId="170" fontId="7" fillId="7" borderId="27" xfId="20" applyNumberFormat="1" applyFont="1" applyFill="1" applyBorder="1" applyProtection="1">
      <protection locked="0"/>
    </xf>
    <xf numFmtId="4" fontId="7" fillId="7" borderId="27" xfId="20" applyNumberFormat="1" applyFont="1" applyFill="1" applyBorder="1" applyProtection="1">
      <protection locked="0"/>
    </xf>
    <xf numFmtId="4" fontId="7" fillId="7" borderId="57" xfId="20" applyNumberFormat="1" applyFont="1" applyFill="1" applyBorder="1" applyProtection="1">
      <protection locked="0"/>
    </xf>
    <xf numFmtId="4" fontId="7" fillId="7" borderId="8" xfId="20" applyNumberFormat="1" applyFont="1" applyFill="1" applyBorder="1" applyProtection="1">
      <protection locked="0"/>
    </xf>
    <xf numFmtId="0" fontId="24" fillId="14" borderId="64" xfId="0" applyFont="1" applyFill="1" applyBorder="1" applyProtection="1"/>
    <xf numFmtId="0" fontId="24" fillId="10" borderId="64" xfId="0" applyFont="1" applyFill="1" applyBorder="1" applyProtection="1"/>
    <xf numFmtId="0" fontId="24" fillId="12" borderId="64" xfId="0" applyFont="1" applyFill="1" applyBorder="1" applyProtection="1"/>
    <xf numFmtId="4" fontId="1" fillId="7" borderId="8" xfId="9" applyNumberFormat="1" applyFont="1" applyFill="1" applyBorder="1" applyAlignment="1" applyProtection="1">
      <protection locked="0"/>
    </xf>
    <xf numFmtId="4" fontId="9" fillId="10" borderId="15" xfId="0" applyNumberFormat="1" applyFont="1" applyFill="1" applyBorder="1" applyProtection="1"/>
    <xf numFmtId="4" fontId="9" fillId="9" borderId="15" xfId="0" applyNumberFormat="1" applyFont="1" applyFill="1" applyBorder="1" applyProtection="1"/>
    <xf numFmtId="4" fontId="24" fillId="10" borderId="64" xfId="0" applyNumberFormat="1" applyFont="1" applyFill="1" applyBorder="1" applyProtection="1"/>
    <xf numFmtId="4" fontId="9" fillId="11" borderId="15" xfId="0" applyNumberFormat="1" applyFont="1" applyFill="1" applyBorder="1" applyProtection="1"/>
    <xf numFmtId="4" fontId="9" fillId="12" borderId="15" xfId="0" applyNumberFormat="1" applyFont="1" applyFill="1" applyBorder="1" applyProtection="1"/>
    <xf numFmtId="4" fontId="24" fillId="12" borderId="64" xfId="0" applyNumberFormat="1" applyFont="1" applyFill="1" applyBorder="1" applyProtection="1"/>
    <xf numFmtId="4" fontId="9" fillId="13" borderId="15" xfId="0" applyNumberFormat="1" applyFont="1" applyFill="1" applyBorder="1" applyProtection="1"/>
    <xf numFmtId="4" fontId="9" fillId="14" borderId="15" xfId="0" applyNumberFormat="1" applyFont="1" applyFill="1" applyBorder="1" applyProtection="1"/>
    <xf numFmtId="4" fontId="39" fillId="14" borderId="15" xfId="0" applyNumberFormat="1" applyFont="1" applyFill="1" applyBorder="1" applyAlignment="1" applyProtection="1">
      <alignment horizontal="left"/>
    </xf>
    <xf numFmtId="4" fontId="39" fillId="13" borderId="15" xfId="0" applyNumberFormat="1" applyFont="1" applyFill="1" applyBorder="1" applyAlignment="1" applyProtection="1">
      <alignment horizontal="left"/>
    </xf>
    <xf numFmtId="4" fontId="24" fillId="14" borderId="64" xfId="0" applyNumberFormat="1" applyFont="1" applyFill="1" applyBorder="1" applyProtection="1"/>
    <xf numFmtId="3" fontId="39" fillId="13" borderId="15" xfId="0" applyNumberFormat="1" applyFont="1" applyFill="1" applyBorder="1" applyAlignment="1" applyProtection="1">
      <alignment horizontal="left"/>
    </xf>
    <xf numFmtId="3" fontId="39" fillId="14" borderId="15" xfId="0" applyNumberFormat="1" applyFont="1" applyFill="1" applyBorder="1" applyAlignment="1" applyProtection="1">
      <alignment horizontal="left"/>
    </xf>
    <xf numFmtId="0" fontId="56" fillId="17" borderId="9" xfId="0" applyFont="1" applyFill="1" applyBorder="1" applyAlignment="1">
      <alignment horizontal="center" vertical="center" wrapText="1"/>
    </xf>
    <xf numFmtId="0" fontId="56" fillId="17" borderId="34" xfId="0" applyFont="1" applyFill="1" applyBorder="1" applyAlignment="1">
      <alignment horizontal="center" vertical="center" wrapText="1"/>
    </xf>
    <xf numFmtId="0" fontId="59" fillId="0" borderId="34" xfId="20" applyFont="1" applyBorder="1" applyAlignment="1">
      <alignment horizontal="center" vertical="center" wrapText="1"/>
    </xf>
    <xf numFmtId="0" fontId="20" fillId="0" borderId="75" xfId="20" applyFont="1" applyFill="1" applyBorder="1" applyAlignment="1">
      <alignment horizontal="center" wrapText="1"/>
    </xf>
    <xf numFmtId="0" fontId="20" fillId="0" borderId="76" xfId="20" applyFont="1" applyFill="1" applyBorder="1" applyAlignment="1">
      <alignment horizontal="center" wrapText="1"/>
    </xf>
    <xf numFmtId="0" fontId="20" fillId="0" borderId="77" xfId="20" applyFont="1" applyFill="1" applyBorder="1" applyAlignment="1">
      <alignment horizontal="center" wrapText="1"/>
    </xf>
    <xf numFmtId="0" fontId="18" fillId="0" borderId="9" xfId="20" applyFont="1" applyBorder="1" applyAlignment="1">
      <alignment horizontal="center" vertical="top" textRotation="180"/>
    </xf>
    <xf numFmtId="0" fontId="45" fillId="0" borderId="34" xfId="0" applyFont="1" applyBorder="1" applyAlignment="1"/>
    <xf numFmtId="0" fontId="45" fillId="0" borderId="11" xfId="0" applyFont="1" applyBorder="1" applyAlignment="1"/>
    <xf numFmtId="0" fontId="1" fillId="0" borderId="32" xfId="19" applyFont="1" applyBorder="1" applyAlignment="1">
      <alignment horizontal="center"/>
    </xf>
    <xf numFmtId="0" fontId="2" fillId="0" borderId="8" xfId="19" applyBorder="1" applyAlignment="1">
      <alignment horizontal="center"/>
    </xf>
    <xf numFmtId="0" fontId="11" fillId="0" borderId="9" xfId="20" applyFont="1" applyBorder="1" applyAlignment="1">
      <alignment horizontal="center" vertical="top" textRotation="180"/>
    </xf>
    <xf numFmtId="0" fontId="0" fillId="0" borderId="34" xfId="0" applyBorder="1" applyAlignment="1">
      <alignment vertical="top"/>
    </xf>
    <xf numFmtId="0" fontId="0" fillId="0" borderId="34" xfId="0" applyBorder="1" applyAlignment="1"/>
    <xf numFmtId="0" fontId="0" fillId="0" borderId="11" xfId="0" applyBorder="1" applyAlignment="1"/>
    <xf numFmtId="0" fontId="45" fillId="0" borderId="34" xfId="0" applyFont="1" applyBorder="1" applyAlignment="1">
      <alignment vertical="top"/>
    </xf>
  </cellXfs>
  <cellStyles count="133">
    <cellStyle name="1000-sep (2 dec)" xfId="57" builtinId="3"/>
    <cellStyle name="1000-sep (2 dec) 2" xfId="1"/>
    <cellStyle name="1000-sep+,00_aktuel-aar" xfId="2"/>
    <cellStyle name="12" xfId="3"/>
    <cellStyle name="14" xfId="4"/>
    <cellStyle name="9" xfId="5"/>
    <cellStyle name="Besøgt link" xfId="27" builtinId="9" hidden="1"/>
    <cellStyle name="Besøgt link" xfId="28" builtinId="9" hidden="1"/>
    <cellStyle name="Besøgt link" xfId="29" builtinId="9" hidden="1"/>
    <cellStyle name="Besøgt link" xfId="31" builtinId="9" hidden="1"/>
    <cellStyle name="Besøgt link" xfId="32" builtinId="9" hidden="1"/>
    <cellStyle name="Besøgt link" xfId="33" builtinId="9" hidden="1"/>
    <cellStyle name="Besøgt link" xfId="34" builtinId="9" hidden="1"/>
    <cellStyle name="Besøgt link" xfId="35" builtinId="9" hidden="1"/>
    <cellStyle name="Besøgt link" xfId="36" builtinId="9" hidden="1"/>
    <cellStyle name="Besøgt link" xfId="37" builtinId="9" hidden="1"/>
    <cellStyle name="Besøgt link" xfId="38" builtinId="9" hidden="1"/>
    <cellStyle name="Besøgt link" xfId="39" builtinId="9" hidden="1"/>
    <cellStyle name="Besøgt link" xfId="40" builtinId="9" hidden="1"/>
    <cellStyle name="Besøgt link" xfId="41" builtinId="9" hidden="1"/>
    <cellStyle name="Besøgt link" xfId="42" builtinId="9" hidden="1"/>
    <cellStyle name="Besøgt link" xfId="43" builtinId="9" hidden="1"/>
    <cellStyle name="Besøgt link" xfId="44" builtinId="9" hidden="1"/>
    <cellStyle name="Besøgt link" xfId="45" builtinId="9" hidden="1"/>
    <cellStyle name="Besøgt link" xfId="46" builtinId="9" hidden="1"/>
    <cellStyle name="Besøgt link" xfId="47" builtinId="9" hidden="1"/>
    <cellStyle name="Besøgt link" xfId="48" builtinId="9" hidden="1"/>
    <cellStyle name="Besøgt link" xfId="49" builtinId="9" hidden="1"/>
    <cellStyle name="Besøgt link" xfId="50" builtinId="9" hidden="1"/>
    <cellStyle name="Besøgt link" xfId="51" builtinId="9" hidden="1"/>
    <cellStyle name="Besøgt link" xfId="52" builtinId="9" hidden="1"/>
    <cellStyle name="Besøgt link" xfId="53" builtinId="9" hidden="1"/>
    <cellStyle name="Besøgt link" xfId="54" builtinId="9" hidden="1"/>
    <cellStyle name="Besøgt link" xfId="55" builtinId="9" hidden="1"/>
    <cellStyle name="Besøgt link" xfId="56" builtinId="9" hidden="1"/>
    <cellStyle name="Besøgt link" xfId="58" builtinId="9" hidden="1"/>
    <cellStyle name="Besøgt link" xfId="59" builtinId="9" hidden="1"/>
    <cellStyle name="Besøgt link" xfId="60" builtinId="9" hidden="1"/>
    <cellStyle name="Besøgt link" xfId="61" builtinId="9" hidden="1"/>
    <cellStyle name="Besøgt link" xfId="62" builtinId="9" hidden="1"/>
    <cellStyle name="Besøgt link" xfId="63" builtinId="9" hidden="1"/>
    <cellStyle name="Besøgt link" xfId="64" builtinId="9" hidden="1"/>
    <cellStyle name="Besøgt link" xfId="65" builtinId="9" hidden="1"/>
    <cellStyle name="Besøgt link" xfId="66" builtinId="9" hidden="1"/>
    <cellStyle name="Besøgt link" xfId="67" builtinId="9" hidden="1"/>
    <cellStyle name="Besøgt link" xfId="68" builtinId="9" hidden="1"/>
    <cellStyle name="Besøgt link" xfId="69" builtinId="9" hidden="1"/>
    <cellStyle name="Besøgt link" xfId="70" builtinId="9" hidden="1"/>
    <cellStyle name="Besøgt link" xfId="71" builtinId="9" hidden="1"/>
    <cellStyle name="Besøgt link" xfId="72" builtinId="9" hidden="1"/>
    <cellStyle name="Besøgt link" xfId="73" builtinId="9" hidden="1"/>
    <cellStyle name="Besøgt link" xfId="74" builtinId="9" hidden="1"/>
    <cellStyle name="Besøgt link" xfId="75" builtinId="9" hidden="1"/>
    <cellStyle name="Besøgt link" xfId="76" builtinId="9" hidden="1"/>
    <cellStyle name="Besøgt link" xfId="77" builtinId="9" hidden="1"/>
    <cellStyle name="Besøgt link" xfId="78" builtinId="9" hidden="1"/>
    <cellStyle name="Besøgt link" xfId="79" builtinId="9" hidden="1"/>
    <cellStyle name="Besøgt link" xfId="80" builtinId="9" hidden="1"/>
    <cellStyle name="Besøgt link" xfId="81" builtinId="9" hidden="1"/>
    <cellStyle name="Besøgt link" xfId="82" builtinId="9" hidden="1"/>
    <cellStyle name="Besøgt link" xfId="83" builtinId="9" hidden="1"/>
    <cellStyle name="Besøgt link" xfId="84" builtinId="9" hidden="1"/>
    <cellStyle name="Besøgt link" xfId="85" builtinId="9" hidden="1"/>
    <cellStyle name="Besøgt link" xfId="86" builtinId="9" hidden="1"/>
    <cellStyle name="Besøgt link" xfId="87" builtinId="9" hidden="1"/>
    <cellStyle name="Besøgt link" xfId="88" builtinId="9" hidden="1"/>
    <cellStyle name="Besøgt link" xfId="89" builtinId="9" hidden="1"/>
    <cellStyle name="Besøgt link" xfId="90" builtinId="9" hidden="1"/>
    <cellStyle name="Besøgt link" xfId="91" builtinId="9" hidden="1"/>
    <cellStyle name="Besøgt link" xfId="92" builtinId="9" hidden="1"/>
    <cellStyle name="Besøgt link" xfId="93" builtinId="9" hidden="1"/>
    <cellStyle name="Besøgt link" xfId="94" builtinId="9" hidden="1"/>
    <cellStyle name="Besøgt link" xfId="95" builtinId="9" hidden="1"/>
    <cellStyle name="Besøgt link" xfId="96" builtinId="9" hidden="1"/>
    <cellStyle name="Besøgt link" xfId="97" builtinId="9" hidden="1"/>
    <cellStyle name="Besøgt link" xfId="98" builtinId="9" hidden="1"/>
    <cellStyle name="Besøgt link" xfId="99" builtinId="9" hidden="1"/>
    <cellStyle name="Besøgt link" xfId="100" builtinId="9" hidden="1"/>
    <cellStyle name="Besøgt link" xfId="101" builtinId="9" hidden="1"/>
    <cellStyle name="Besøgt link" xfId="102" builtinId="9" hidden="1"/>
    <cellStyle name="Besøgt link" xfId="103" builtinId="9" hidden="1"/>
    <cellStyle name="Besøgt link" xfId="104" builtinId="9" hidden="1"/>
    <cellStyle name="Besøgt link" xfId="105" builtinId="9" hidden="1"/>
    <cellStyle name="Besøgt link" xfId="106" builtinId="9" hidden="1"/>
    <cellStyle name="Besøgt link" xfId="107" builtinId="9" hidden="1"/>
    <cellStyle name="Besøgt link" xfId="108" builtinId="9" hidden="1"/>
    <cellStyle name="Besøgt link" xfId="109" builtinId="9" hidden="1"/>
    <cellStyle name="Besøgt link" xfId="110" builtinId="9" hidden="1"/>
    <cellStyle name="Besøgt link" xfId="111" builtinId="9" hidden="1"/>
    <cellStyle name="Besøgt link" xfId="112" builtinId="9" hidden="1"/>
    <cellStyle name="Besøgt link" xfId="113" builtinId="9" hidden="1"/>
    <cellStyle name="Besøgt link" xfId="114" builtinId="9" hidden="1"/>
    <cellStyle name="Besøgt link" xfId="115" builtinId="9" hidden="1"/>
    <cellStyle name="Besøgt link" xfId="116" builtinId="9" hidden="1"/>
    <cellStyle name="Besøgt link" xfId="117" builtinId="9" hidden="1"/>
    <cellStyle name="Besøgt link" xfId="118" builtinId="9" hidden="1"/>
    <cellStyle name="Besøgt link" xfId="119" builtinId="9" hidden="1"/>
    <cellStyle name="Besøgt link" xfId="120" builtinId="9" hidden="1"/>
    <cellStyle name="Besøgt link" xfId="121" builtinId="9" hidden="1"/>
    <cellStyle name="Besøgt link" xfId="122" builtinId="9" hidden="1"/>
    <cellStyle name="Besøgt link" xfId="123" builtinId="9" hidden="1"/>
    <cellStyle name="Besøgt link" xfId="124" builtinId="9" hidden="1"/>
    <cellStyle name="Besøgt link" xfId="125" builtinId="9" hidden="1"/>
    <cellStyle name="Besøgt link" xfId="126" builtinId="9" hidden="1"/>
    <cellStyle name="Besøgt link" xfId="127" builtinId="9" hidden="1"/>
    <cellStyle name="Besøgt link" xfId="128" builtinId="9" hidden="1"/>
    <cellStyle name="Besøgt link" xfId="129" builtinId="9" hidden="1"/>
    <cellStyle name="Besøgt link" xfId="130" builtinId="9" hidden="1"/>
    <cellStyle name="Besøgt link" xfId="131" builtinId="9" hidden="1"/>
    <cellStyle name="Besøgt link" xfId="132" builtinId="9" hidden="1"/>
    <cellStyle name="Chicago" xfId="6"/>
    <cellStyle name="Comma [0]_DelAktPl.xls" xfId="7"/>
    <cellStyle name="Comma_DelAktPl.xls" xfId="8"/>
    <cellStyle name="Comma_Lon.xls1" xfId="9"/>
    <cellStyle name="courier" xfId="10"/>
    <cellStyle name="Currency [0]_DelAktPl.xls" xfId="11"/>
    <cellStyle name="Currency_DelAktPl.xls" xfId="12"/>
    <cellStyle name="Hyperlink" xfId="13" builtinId="8"/>
    <cellStyle name="komma0" xfId="14"/>
    <cellStyle name="komma1" xfId="15"/>
    <cellStyle name="komma2" xfId="16"/>
    <cellStyle name="komma4" xfId="17"/>
    <cellStyle name="kr" xfId="18"/>
    <cellStyle name="Normal" xfId="0" builtinId="0"/>
    <cellStyle name="Normal 2" xfId="19"/>
    <cellStyle name="Normal 2 2" xfId="30"/>
    <cellStyle name="Normal_Lon.xls1" xfId="20"/>
    <cellStyle name="Normal_LonAug00.xls" xfId="21"/>
    <cellStyle name="prc0" xfId="22"/>
    <cellStyle name="prc1" xfId="23"/>
    <cellStyle name="prc2" xfId="24"/>
    <cellStyle name="skkode" xfId="25"/>
    <cellStyle name="skygget" xfId="26"/>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externalLink" Target="externalLinks/externalLink1.xml"/><Relationship Id="rId34" Type="http://schemas.openxmlformats.org/officeDocument/2006/relationships/externalLink" Target="externalLinks/externalLink2.xml"/><Relationship Id="rId35" Type="http://schemas.openxmlformats.org/officeDocument/2006/relationships/externalLink" Target="externalLinks/externalLink3.xml"/><Relationship Id="rId36" Type="http://schemas.openxmlformats.org/officeDocument/2006/relationships/externalLink" Target="externalLinks/externalLink4.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theme" Target="theme/theme1.xml"/><Relationship Id="rId38" Type="http://schemas.openxmlformats.org/officeDocument/2006/relationships/styles" Target="styles.xml"/><Relationship Id="rId39" Type="http://schemas.openxmlformats.org/officeDocument/2006/relationships/sharedStrings" Target="sharedStrings.xml"/><Relationship Id="rId40" Type="http://schemas.openxmlformats.org/officeDocument/2006/relationships/calcChain" Target="calcChain.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01001" name="AutoShape 1"/>
        <xdr:cNvSpPr>
          <a:spLocks/>
        </xdr:cNvSpPr>
      </xdr:nvSpPr>
      <xdr:spPr bwMode="auto">
        <a:xfrm>
          <a:off x="15900400" y="2667000"/>
          <a:ext cx="317500" cy="23495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6459200" y="30988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1435100</xdr:colOff>
      <xdr:row>10</xdr:row>
      <xdr:rowOff>50800</xdr:rowOff>
    </xdr:from>
    <xdr:to>
      <xdr:col>15</xdr:col>
      <xdr:colOff>1752600</xdr:colOff>
      <xdr:row>17</xdr:row>
      <xdr:rowOff>266700</xdr:rowOff>
    </xdr:to>
    <xdr:sp macro="" textlink="">
      <xdr:nvSpPr>
        <xdr:cNvPr id="3653" name="AutoShape 1"/>
        <xdr:cNvSpPr>
          <a:spLocks/>
        </xdr:cNvSpPr>
      </xdr:nvSpPr>
      <xdr:spPr bwMode="auto">
        <a:xfrm>
          <a:off x="15900400" y="2667000"/>
          <a:ext cx="317500" cy="23495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15</xdr:col>
      <xdr:colOff>1993900</xdr:colOff>
      <xdr:row>11</xdr:row>
      <xdr:rowOff>292100</xdr:rowOff>
    </xdr:from>
    <xdr:to>
      <xdr:col>15</xdr:col>
      <xdr:colOff>3568700</xdr:colOff>
      <xdr:row>17</xdr:row>
      <xdr:rowOff>76200</xdr:rowOff>
    </xdr:to>
    <xdr:sp macro="" textlink="">
      <xdr:nvSpPr>
        <xdr:cNvPr id="3" name="Text Box 2"/>
        <xdr:cNvSpPr txBox="1">
          <a:spLocks noChangeArrowheads="1"/>
        </xdr:cNvSpPr>
      </xdr:nvSpPr>
      <xdr:spPr bwMode="auto">
        <a:xfrm>
          <a:off x="16459200" y="3213100"/>
          <a:ext cx="1574800" cy="1612900"/>
        </a:xfrm>
        <a:prstGeom prst="rect">
          <a:avLst/>
        </a:prstGeom>
        <a:solidFill>
          <a:srgbClr val="FFFF99"/>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1997-grundbeløb pr. år, så omregnes de automatisk til aktuel løn pr. md.</a:t>
          </a:r>
        </a:p>
        <a:p>
          <a:pPr algn="l" rtl="0">
            <a:lnSpc>
              <a:spcPts val="1200"/>
            </a:lnSpc>
            <a:defRPr sz="1000"/>
          </a:pPr>
          <a:r>
            <a:rPr lang="da-DK" sz="1100" b="0" i="0" u="none" strike="noStrike" baseline="0">
              <a:solidFill>
                <a:srgbClr val="000000"/>
              </a:solidFill>
              <a:latin typeface="Verdana"/>
              <a:ea typeface="Verdana"/>
              <a:cs typeface="Verdana"/>
            </a:rPr>
            <a:t>Lin. 17-19 ganges med BG!</a:t>
          </a:r>
        </a:p>
      </xdr:txBody>
    </xdr:sp>
    <xdr:clientData/>
  </xdr:twoCellAnchor>
  <xdr:twoCellAnchor editAs="oneCell">
    <xdr:from>
      <xdr:col>2</xdr:col>
      <xdr:colOff>0</xdr:colOff>
      <xdr:row>0</xdr:row>
      <xdr:rowOff>0</xdr:rowOff>
    </xdr:from>
    <xdr:to>
      <xdr:col>6</xdr:col>
      <xdr:colOff>304800</xdr:colOff>
      <xdr:row>0</xdr:row>
      <xdr:rowOff>165100</xdr:rowOff>
    </xdr:to>
    <xdr:pic>
      <xdr:nvPicPr>
        <xdr:cNvPr id="4" name="Billede 3"/>
        <xdr:cNvPicPr>
          <a:picLocks noChangeAspect="1"/>
        </xdr:cNvPicPr>
      </xdr:nvPicPr>
      <xdr:blipFill>
        <a:blip xmlns:r="http://schemas.openxmlformats.org/officeDocument/2006/relationships" r:embed="rId1"/>
        <a:stretch>
          <a:fillRect/>
        </a:stretch>
      </xdr:blipFill>
      <xdr:spPr>
        <a:xfrm>
          <a:off x="3200400" y="0"/>
          <a:ext cx="3797300" cy="165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1435100</xdr:colOff>
      <xdr:row>10</xdr:row>
      <xdr:rowOff>50800</xdr:rowOff>
    </xdr:from>
    <xdr:to>
      <xdr:col>15</xdr:col>
      <xdr:colOff>1752600</xdr:colOff>
      <xdr:row>17</xdr:row>
      <xdr:rowOff>266700</xdr:rowOff>
    </xdr:to>
    <xdr:sp macro="" textlink="">
      <xdr:nvSpPr>
        <xdr:cNvPr id="4677" name="AutoShape 1"/>
        <xdr:cNvSpPr>
          <a:spLocks/>
        </xdr:cNvSpPr>
      </xdr:nvSpPr>
      <xdr:spPr bwMode="auto">
        <a:xfrm>
          <a:off x="15900400" y="2667000"/>
          <a:ext cx="317500" cy="23495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15</xdr:col>
      <xdr:colOff>1993900</xdr:colOff>
      <xdr:row>11</xdr:row>
      <xdr:rowOff>292100</xdr:rowOff>
    </xdr:from>
    <xdr:to>
      <xdr:col>15</xdr:col>
      <xdr:colOff>3568700</xdr:colOff>
      <xdr:row>17</xdr:row>
      <xdr:rowOff>76200</xdr:rowOff>
    </xdr:to>
    <xdr:sp macro="" textlink="">
      <xdr:nvSpPr>
        <xdr:cNvPr id="3" name="Text Box 2"/>
        <xdr:cNvSpPr txBox="1">
          <a:spLocks noChangeArrowheads="1"/>
        </xdr:cNvSpPr>
      </xdr:nvSpPr>
      <xdr:spPr bwMode="auto">
        <a:xfrm>
          <a:off x="15354300" y="3556000"/>
          <a:ext cx="1574800" cy="16129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1997-grundbeløb pr. år, så omregnes de automatisk til aktuel løn pr. md.</a:t>
          </a:r>
        </a:p>
        <a:p>
          <a:pPr algn="l" rtl="0">
            <a:lnSpc>
              <a:spcPts val="1200"/>
            </a:lnSpc>
            <a:defRPr sz="1000"/>
          </a:pPr>
          <a:r>
            <a:rPr lang="da-DK" sz="1100" b="0" i="0" u="none" strike="noStrike" baseline="0">
              <a:solidFill>
                <a:srgbClr val="000000"/>
              </a:solidFill>
              <a:latin typeface="Verdana"/>
              <a:ea typeface="Verdana"/>
              <a:cs typeface="Verdana"/>
            </a:rPr>
            <a:t>Lin. 16-18 ganges med BG!</a:t>
          </a:r>
        </a:p>
      </xdr:txBody>
    </xdr:sp>
    <xdr:clientData/>
  </xdr:twoCellAnchor>
  <xdr:twoCellAnchor editAs="oneCell">
    <xdr:from>
      <xdr:col>2</xdr:col>
      <xdr:colOff>0</xdr:colOff>
      <xdr:row>0</xdr:row>
      <xdr:rowOff>0</xdr:rowOff>
    </xdr:from>
    <xdr:to>
      <xdr:col>6</xdr:col>
      <xdr:colOff>304800</xdr:colOff>
      <xdr:row>0</xdr:row>
      <xdr:rowOff>165100</xdr:rowOff>
    </xdr:to>
    <xdr:pic>
      <xdr:nvPicPr>
        <xdr:cNvPr id="4" name="Billede 3"/>
        <xdr:cNvPicPr>
          <a:picLocks noChangeAspect="1"/>
        </xdr:cNvPicPr>
      </xdr:nvPicPr>
      <xdr:blipFill>
        <a:blip xmlns:r="http://schemas.openxmlformats.org/officeDocument/2006/relationships" r:embed="rId1"/>
        <a:stretch>
          <a:fillRect/>
        </a:stretch>
      </xdr:blipFill>
      <xdr:spPr>
        <a:xfrm>
          <a:off x="3200400" y="0"/>
          <a:ext cx="3797300" cy="1651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1435100</xdr:colOff>
      <xdr:row>10</xdr:row>
      <xdr:rowOff>50800</xdr:rowOff>
    </xdr:from>
    <xdr:to>
      <xdr:col>15</xdr:col>
      <xdr:colOff>1752600</xdr:colOff>
      <xdr:row>17</xdr:row>
      <xdr:rowOff>266700</xdr:rowOff>
    </xdr:to>
    <xdr:sp macro="" textlink="">
      <xdr:nvSpPr>
        <xdr:cNvPr id="148933" name="AutoShape 1"/>
        <xdr:cNvSpPr>
          <a:spLocks/>
        </xdr:cNvSpPr>
      </xdr:nvSpPr>
      <xdr:spPr bwMode="auto">
        <a:xfrm>
          <a:off x="15900400" y="2667000"/>
          <a:ext cx="317500" cy="23495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15</xdr:col>
      <xdr:colOff>1993900</xdr:colOff>
      <xdr:row>11</xdr:row>
      <xdr:rowOff>292100</xdr:rowOff>
    </xdr:from>
    <xdr:to>
      <xdr:col>15</xdr:col>
      <xdr:colOff>3568700</xdr:colOff>
      <xdr:row>17</xdr:row>
      <xdr:rowOff>76200</xdr:rowOff>
    </xdr:to>
    <xdr:sp macro="" textlink="">
      <xdr:nvSpPr>
        <xdr:cNvPr id="3" name="Text Box 2"/>
        <xdr:cNvSpPr txBox="1">
          <a:spLocks noChangeArrowheads="1"/>
        </xdr:cNvSpPr>
      </xdr:nvSpPr>
      <xdr:spPr bwMode="auto">
        <a:xfrm>
          <a:off x="16459200" y="3213100"/>
          <a:ext cx="1574800" cy="16129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1997-grundbeløb pr. år, så omregnes de automatisk til aktuel løn pr. md.</a:t>
          </a:r>
        </a:p>
        <a:p>
          <a:pPr algn="l" rtl="0">
            <a:lnSpc>
              <a:spcPts val="1200"/>
            </a:lnSpc>
            <a:defRPr sz="1000"/>
          </a:pPr>
          <a:r>
            <a:rPr lang="da-DK" sz="1100" b="0" i="0" u="none" strike="noStrike" baseline="0">
              <a:solidFill>
                <a:srgbClr val="000000"/>
              </a:solidFill>
              <a:latin typeface="Verdana"/>
              <a:ea typeface="Verdana"/>
              <a:cs typeface="Verdana"/>
            </a:rPr>
            <a:t>Lin. 16-18 ganges med BG!</a:t>
          </a:r>
        </a:p>
      </xdr:txBody>
    </xdr:sp>
    <xdr:clientData/>
  </xdr:twoCellAnchor>
  <xdr:twoCellAnchor editAs="oneCell">
    <xdr:from>
      <xdr:col>2</xdr:col>
      <xdr:colOff>0</xdr:colOff>
      <xdr:row>0</xdr:row>
      <xdr:rowOff>0</xdr:rowOff>
    </xdr:from>
    <xdr:to>
      <xdr:col>6</xdr:col>
      <xdr:colOff>304800</xdr:colOff>
      <xdr:row>0</xdr:row>
      <xdr:rowOff>165100</xdr:rowOff>
    </xdr:to>
    <xdr:pic>
      <xdr:nvPicPr>
        <xdr:cNvPr id="4" name="Billede 3"/>
        <xdr:cNvPicPr>
          <a:picLocks noChangeAspect="1"/>
        </xdr:cNvPicPr>
      </xdr:nvPicPr>
      <xdr:blipFill>
        <a:blip xmlns:r="http://schemas.openxmlformats.org/officeDocument/2006/relationships" r:embed="rId1"/>
        <a:stretch>
          <a:fillRect/>
        </a:stretch>
      </xdr:blipFill>
      <xdr:spPr>
        <a:xfrm>
          <a:off x="3200400" y="0"/>
          <a:ext cx="3797300" cy="16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1435100</xdr:colOff>
      <xdr:row>10</xdr:row>
      <xdr:rowOff>50800</xdr:rowOff>
    </xdr:from>
    <xdr:to>
      <xdr:col>15</xdr:col>
      <xdr:colOff>1752600</xdr:colOff>
      <xdr:row>17</xdr:row>
      <xdr:rowOff>266700</xdr:rowOff>
    </xdr:to>
    <xdr:sp macro="" textlink="">
      <xdr:nvSpPr>
        <xdr:cNvPr id="304217" name="AutoShape 1"/>
        <xdr:cNvSpPr>
          <a:spLocks/>
        </xdr:cNvSpPr>
      </xdr:nvSpPr>
      <xdr:spPr bwMode="auto">
        <a:xfrm>
          <a:off x="15900400" y="2667000"/>
          <a:ext cx="317500" cy="23495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15</xdr:col>
      <xdr:colOff>1993900</xdr:colOff>
      <xdr:row>11</xdr:row>
      <xdr:rowOff>177800</xdr:rowOff>
    </xdr:from>
    <xdr:to>
      <xdr:col>15</xdr:col>
      <xdr:colOff>3784600</xdr:colOff>
      <xdr:row>16</xdr:row>
      <xdr:rowOff>114300</xdr:rowOff>
    </xdr:to>
    <xdr:sp macro="" textlink="">
      <xdr:nvSpPr>
        <xdr:cNvPr id="3" name="Text Box 2"/>
        <xdr:cNvSpPr txBox="1">
          <a:spLocks noChangeArrowheads="1"/>
        </xdr:cNvSpPr>
      </xdr:nvSpPr>
      <xdr:spPr bwMode="auto">
        <a:xfrm>
          <a:off x="16459200" y="30988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a:p>
          <a:pPr algn="l" rtl="0">
            <a:lnSpc>
              <a:spcPts val="1200"/>
            </a:lnSpc>
            <a:defRPr sz="1000"/>
          </a:pPr>
          <a:r>
            <a:rPr lang="da-DK" sz="1100" b="0" i="0" u="none" strike="noStrike" baseline="0">
              <a:solidFill>
                <a:srgbClr val="000000"/>
              </a:solidFill>
              <a:latin typeface="Verdana"/>
              <a:ea typeface="Verdana"/>
              <a:cs typeface="Verdana"/>
            </a:rPr>
            <a:t>Lin. 16-18 ganges med BG!</a:t>
          </a:r>
        </a:p>
      </xdr:txBody>
    </xdr:sp>
    <xdr:clientData/>
  </xdr:twoCellAnchor>
  <xdr:twoCellAnchor editAs="oneCell">
    <xdr:from>
      <xdr:col>1</xdr:col>
      <xdr:colOff>2870200</xdr:colOff>
      <xdr:row>0</xdr:row>
      <xdr:rowOff>12700</xdr:rowOff>
    </xdr:from>
    <xdr:to>
      <xdr:col>6</xdr:col>
      <xdr:colOff>292100</xdr:colOff>
      <xdr:row>0</xdr:row>
      <xdr:rowOff>177800</xdr:rowOff>
    </xdr:to>
    <xdr:pic>
      <xdr:nvPicPr>
        <xdr:cNvPr id="2" name="Billede 1"/>
        <xdr:cNvPicPr>
          <a:picLocks noChangeAspect="1"/>
        </xdr:cNvPicPr>
      </xdr:nvPicPr>
      <xdr:blipFill>
        <a:blip xmlns:r="http://schemas.openxmlformats.org/officeDocument/2006/relationships" r:embed="rId1"/>
        <a:stretch>
          <a:fillRect/>
        </a:stretch>
      </xdr:blipFill>
      <xdr:spPr>
        <a:xfrm>
          <a:off x="3187700" y="12700"/>
          <a:ext cx="3797300" cy="1651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1435100</xdr:colOff>
      <xdr:row>9</xdr:row>
      <xdr:rowOff>50800</xdr:rowOff>
    </xdr:from>
    <xdr:to>
      <xdr:col>15</xdr:col>
      <xdr:colOff>1752600</xdr:colOff>
      <xdr:row>17</xdr:row>
      <xdr:rowOff>266700</xdr:rowOff>
    </xdr:to>
    <xdr:sp macro="" textlink="">
      <xdr:nvSpPr>
        <xdr:cNvPr id="2" name="AutoShape 1"/>
        <xdr:cNvSpPr>
          <a:spLocks/>
        </xdr:cNvSpPr>
      </xdr:nvSpPr>
      <xdr:spPr bwMode="auto">
        <a:xfrm>
          <a:off x="15900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15</xdr:col>
      <xdr:colOff>1993900</xdr:colOff>
      <xdr:row>10</xdr:row>
      <xdr:rowOff>177800</xdr:rowOff>
    </xdr:from>
    <xdr:to>
      <xdr:col>15</xdr:col>
      <xdr:colOff>3784600</xdr:colOff>
      <xdr:row>15</xdr:row>
      <xdr:rowOff>114300</xdr:rowOff>
    </xdr:to>
    <xdr:sp macro="" textlink="">
      <xdr:nvSpPr>
        <xdr:cNvPr id="3" name="Text Box 2"/>
        <xdr:cNvSpPr txBox="1">
          <a:spLocks noChangeArrowheads="1"/>
        </xdr:cNvSpPr>
      </xdr:nvSpPr>
      <xdr:spPr bwMode="auto">
        <a:xfrm>
          <a:off x="16459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a:p>
          <a:pPr algn="l" rtl="0">
            <a:lnSpc>
              <a:spcPts val="1200"/>
            </a:lnSpc>
            <a:defRPr sz="1000"/>
          </a:pPr>
          <a:r>
            <a:rPr lang="da-DK" sz="1100" b="0" i="0" u="none" strike="noStrike" baseline="0">
              <a:solidFill>
                <a:srgbClr val="000000"/>
              </a:solidFill>
              <a:latin typeface="Verdana"/>
              <a:ea typeface="Verdana"/>
              <a:cs typeface="Verdana"/>
            </a:rPr>
            <a:t>Lin. 16-18 ganges med BG!</a:t>
          </a:r>
        </a:p>
      </xdr:txBody>
    </xdr:sp>
    <xdr:clientData/>
  </xdr:twoCellAnchor>
  <xdr:twoCellAnchor editAs="oneCell">
    <xdr:from>
      <xdr:col>2</xdr:col>
      <xdr:colOff>0</xdr:colOff>
      <xdr:row>0</xdr:row>
      <xdr:rowOff>0</xdr:rowOff>
    </xdr:from>
    <xdr:to>
      <xdr:col>6</xdr:col>
      <xdr:colOff>304800</xdr:colOff>
      <xdr:row>0</xdr:row>
      <xdr:rowOff>165100</xdr:rowOff>
    </xdr:to>
    <xdr:pic>
      <xdr:nvPicPr>
        <xdr:cNvPr id="4" name="Billede 3"/>
        <xdr:cNvPicPr>
          <a:picLocks noChangeAspect="1"/>
        </xdr:cNvPicPr>
      </xdr:nvPicPr>
      <xdr:blipFill>
        <a:blip xmlns:r="http://schemas.openxmlformats.org/officeDocument/2006/relationships" r:embed="rId1"/>
        <a:stretch>
          <a:fillRect/>
        </a:stretch>
      </xdr:blipFill>
      <xdr:spPr>
        <a:xfrm>
          <a:off x="3200400" y="0"/>
          <a:ext cx="3797300" cy="165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1435100</xdr:colOff>
      <xdr:row>9</xdr:row>
      <xdr:rowOff>50800</xdr:rowOff>
    </xdr:from>
    <xdr:to>
      <xdr:col>18</xdr:col>
      <xdr:colOff>1752600</xdr:colOff>
      <xdr:row>17</xdr:row>
      <xdr:rowOff>266700</xdr:rowOff>
    </xdr:to>
    <xdr:sp macro="" textlink="">
      <xdr:nvSpPr>
        <xdr:cNvPr id="2" name="AutoShape 1"/>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18</xdr:col>
      <xdr:colOff>1993900</xdr:colOff>
      <xdr:row>10</xdr:row>
      <xdr:rowOff>177800</xdr:rowOff>
    </xdr:from>
    <xdr:to>
      <xdr:col>18</xdr:col>
      <xdr:colOff>3784600</xdr:colOff>
      <xdr:row>15</xdr:row>
      <xdr:rowOff>114300</xdr:rowOff>
    </xdr:to>
    <xdr:sp macro="" textlink="">
      <xdr:nvSpPr>
        <xdr:cNvPr id="3" name="Text Box 2"/>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lemikke/Desktop/Ole-M/L&#216;N/LonberegnApr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lemikke/Desktop/Ole-M/Udvikling/Lonberegn2011-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lemikke/Library/Application%20Support/Microsoft/Office/Office%202011%20AutoRecovery/LonberegnApr13%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lemikke/Desktop/Ole-M/L&#216;N/natpenge"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aerer-bhkll (Lockout)"/>
      <sheetName val="Vejledning"/>
      <sheetName val="Lockoutvejledning"/>
      <sheetName val="Nylønstillæg"/>
      <sheetName val="Grundlon"/>
      <sheetName val="Grundlon12"/>
    </sheetNames>
    <sheetDataSet>
      <sheetData sheetId="0"/>
      <sheetData sheetId="1"/>
      <sheetData sheetId="2"/>
      <sheetData sheetId="3"/>
      <sheetData sheetId="4">
        <row r="4">
          <cell r="A4">
            <v>1</v>
          </cell>
          <cell r="B4">
            <v>141011</v>
          </cell>
          <cell r="C4">
            <v>143641</v>
          </cell>
          <cell r="D4">
            <v>145461</v>
          </cell>
          <cell r="E4">
            <v>148092</v>
          </cell>
          <cell r="F4">
            <v>149912</v>
          </cell>
          <cell r="G4">
            <v>131168.56</v>
          </cell>
        </row>
        <row r="5">
          <cell r="A5">
            <v>2</v>
          </cell>
          <cell r="B5">
            <v>143176</v>
          </cell>
          <cell r="C5">
            <v>145871</v>
          </cell>
          <cell r="D5">
            <v>147736</v>
          </cell>
          <cell r="E5">
            <v>150429</v>
          </cell>
          <cell r="F5">
            <v>152295</v>
          </cell>
          <cell r="G5">
            <v>133198.04</v>
          </cell>
        </row>
        <row r="6">
          <cell r="A6">
            <v>3</v>
          </cell>
          <cell r="B6">
            <v>145401</v>
          </cell>
          <cell r="C6">
            <v>148160</v>
          </cell>
          <cell r="D6">
            <v>150071</v>
          </cell>
          <cell r="E6">
            <v>152830</v>
          </cell>
          <cell r="F6">
            <v>154742</v>
          </cell>
          <cell r="G6">
            <v>135282.59</v>
          </cell>
        </row>
        <row r="7">
          <cell r="A7">
            <v>4</v>
          </cell>
          <cell r="B7">
            <v>147687</v>
          </cell>
          <cell r="C7">
            <v>150515</v>
          </cell>
          <cell r="D7">
            <v>152473</v>
          </cell>
          <cell r="E7">
            <v>155300</v>
          </cell>
          <cell r="F7">
            <v>157257</v>
          </cell>
          <cell r="G7">
            <v>137424.97</v>
          </cell>
        </row>
        <row r="8">
          <cell r="A8">
            <v>5</v>
          </cell>
          <cell r="B8">
            <v>150035</v>
          </cell>
          <cell r="C8">
            <v>152932</v>
          </cell>
          <cell r="D8">
            <v>154939</v>
          </cell>
          <cell r="E8">
            <v>157836</v>
          </cell>
          <cell r="F8">
            <v>159841</v>
          </cell>
          <cell r="G8">
            <v>139625.18</v>
          </cell>
        </row>
        <row r="9">
          <cell r="A9">
            <v>6</v>
          </cell>
          <cell r="B9">
            <v>152450</v>
          </cell>
          <cell r="C9">
            <v>155418</v>
          </cell>
          <cell r="D9">
            <v>157474</v>
          </cell>
          <cell r="E9">
            <v>160442</v>
          </cell>
          <cell r="F9">
            <v>162497</v>
          </cell>
          <cell r="G9">
            <v>141887.34</v>
          </cell>
        </row>
        <row r="10">
          <cell r="A10">
            <v>7</v>
          </cell>
          <cell r="B10">
            <v>154928</v>
          </cell>
          <cell r="C10">
            <v>157970</v>
          </cell>
          <cell r="D10">
            <v>160076</v>
          </cell>
          <cell r="E10">
            <v>163118</v>
          </cell>
          <cell r="F10">
            <v>165223</v>
          </cell>
          <cell r="G10">
            <v>144210.09</v>
          </cell>
        </row>
        <row r="11">
          <cell r="A11">
            <v>8</v>
          </cell>
          <cell r="B11">
            <v>157475</v>
          </cell>
          <cell r="C11">
            <v>160592</v>
          </cell>
          <cell r="D11">
            <v>162751</v>
          </cell>
          <cell r="E11">
            <v>165868</v>
          </cell>
          <cell r="F11">
            <v>168027</v>
          </cell>
          <cell r="G11">
            <v>146597.54999999999</v>
          </cell>
        </row>
        <row r="12">
          <cell r="A12">
            <v>9</v>
          </cell>
          <cell r="B12">
            <v>160094</v>
          </cell>
          <cell r="C12">
            <v>163288</v>
          </cell>
          <cell r="D12">
            <v>165501</v>
          </cell>
          <cell r="E12">
            <v>168695</v>
          </cell>
          <cell r="F12">
            <v>170908</v>
          </cell>
          <cell r="G12">
            <v>149051.1</v>
          </cell>
        </row>
        <row r="13">
          <cell r="A13">
            <v>10</v>
          </cell>
          <cell r="B13">
            <v>162783</v>
          </cell>
          <cell r="C13">
            <v>166058</v>
          </cell>
          <cell r="D13">
            <v>168325</v>
          </cell>
          <cell r="E13">
            <v>171600</v>
          </cell>
          <cell r="F13">
            <v>173868</v>
          </cell>
          <cell r="G13">
            <v>151572.10999999999</v>
          </cell>
        </row>
        <row r="14">
          <cell r="A14">
            <v>11</v>
          </cell>
          <cell r="B14">
            <v>164905</v>
          </cell>
          <cell r="C14">
            <v>168261</v>
          </cell>
          <cell r="D14">
            <v>170585</v>
          </cell>
          <cell r="E14">
            <v>173941</v>
          </cell>
          <cell r="F14">
            <v>176265</v>
          </cell>
          <cell r="G14">
            <v>154161.97</v>
          </cell>
        </row>
        <row r="15">
          <cell r="A15">
            <v>12</v>
          </cell>
          <cell r="B15">
            <v>167744</v>
          </cell>
          <cell r="C15">
            <v>171185</v>
          </cell>
          <cell r="D15">
            <v>173568</v>
          </cell>
          <cell r="E15">
            <v>177008</v>
          </cell>
          <cell r="F15">
            <v>179390</v>
          </cell>
          <cell r="G15">
            <v>156823.42000000001</v>
          </cell>
        </row>
        <row r="16">
          <cell r="A16">
            <v>13</v>
          </cell>
          <cell r="B16">
            <v>170663</v>
          </cell>
          <cell r="C16">
            <v>174190</v>
          </cell>
          <cell r="D16">
            <v>176632</v>
          </cell>
          <cell r="E16">
            <v>180160</v>
          </cell>
          <cell r="F16">
            <v>182601</v>
          </cell>
          <cell r="G16">
            <v>159557.85</v>
          </cell>
        </row>
        <row r="17">
          <cell r="A17">
            <v>14</v>
          </cell>
          <cell r="B17">
            <v>173661</v>
          </cell>
          <cell r="C17">
            <v>177278</v>
          </cell>
          <cell r="D17">
            <v>179781</v>
          </cell>
          <cell r="E17">
            <v>183397</v>
          </cell>
          <cell r="F17">
            <v>185900</v>
          </cell>
          <cell r="G17">
            <v>162368</v>
          </cell>
        </row>
        <row r="18">
          <cell r="A18">
            <v>15</v>
          </cell>
          <cell r="B18">
            <v>176742</v>
          </cell>
          <cell r="C18">
            <v>180449</v>
          </cell>
          <cell r="D18">
            <v>183015</v>
          </cell>
          <cell r="E18">
            <v>186723</v>
          </cell>
          <cell r="F18">
            <v>189289</v>
          </cell>
          <cell r="G18">
            <v>165253.88</v>
          </cell>
        </row>
        <row r="19">
          <cell r="A19">
            <v>16</v>
          </cell>
          <cell r="B19">
            <v>179103</v>
          </cell>
          <cell r="C19">
            <v>182904</v>
          </cell>
          <cell r="D19">
            <v>185536</v>
          </cell>
          <cell r="E19">
            <v>189337</v>
          </cell>
          <cell r="F19">
            <v>191969</v>
          </cell>
          <cell r="G19">
            <v>168220.99</v>
          </cell>
        </row>
        <row r="20">
          <cell r="A20">
            <v>17</v>
          </cell>
          <cell r="B20">
            <v>182355</v>
          </cell>
          <cell r="C20">
            <v>186253</v>
          </cell>
          <cell r="D20">
            <v>188951</v>
          </cell>
          <cell r="E20">
            <v>192849</v>
          </cell>
          <cell r="F20">
            <v>195546</v>
          </cell>
          <cell r="G20">
            <v>171267.96</v>
          </cell>
        </row>
        <row r="21">
          <cell r="A21">
            <v>18</v>
          </cell>
          <cell r="B21">
            <v>185698</v>
          </cell>
          <cell r="C21">
            <v>189695</v>
          </cell>
          <cell r="D21">
            <v>192462</v>
          </cell>
          <cell r="E21">
            <v>196458</v>
          </cell>
          <cell r="F21">
            <v>199224</v>
          </cell>
          <cell r="G21">
            <v>174400.3</v>
          </cell>
        </row>
        <row r="22">
          <cell r="A22">
            <v>19</v>
          </cell>
          <cell r="B22">
            <v>188193</v>
          </cell>
          <cell r="C22">
            <v>192292</v>
          </cell>
          <cell r="D22">
            <v>195128</v>
          </cell>
          <cell r="E22">
            <v>199227</v>
          </cell>
          <cell r="F22">
            <v>202065</v>
          </cell>
          <cell r="G22">
            <v>177618</v>
          </cell>
        </row>
        <row r="23">
          <cell r="A23">
            <v>20</v>
          </cell>
          <cell r="B23">
            <v>190784</v>
          </cell>
          <cell r="C23">
            <v>194986</v>
          </cell>
          <cell r="D23">
            <v>197896</v>
          </cell>
          <cell r="E23">
            <v>202098</v>
          </cell>
          <cell r="F23">
            <v>205007</v>
          </cell>
          <cell r="G23">
            <v>180923.82</v>
          </cell>
        </row>
        <row r="24">
          <cell r="A24">
            <v>21</v>
          </cell>
          <cell r="B24">
            <v>193942</v>
          </cell>
          <cell r="C24">
            <v>198252</v>
          </cell>
          <cell r="D24">
            <v>201236</v>
          </cell>
          <cell r="E24">
            <v>205546</v>
          </cell>
          <cell r="F24">
            <v>208530</v>
          </cell>
          <cell r="G24">
            <v>184321.88</v>
          </cell>
        </row>
        <row r="25">
          <cell r="A25">
            <v>22</v>
          </cell>
          <cell r="B25">
            <v>196868</v>
          </cell>
          <cell r="C25">
            <v>201178</v>
          </cell>
          <cell r="D25">
            <v>204162</v>
          </cell>
          <cell r="E25">
            <v>208472</v>
          </cell>
          <cell r="F25">
            <v>211456</v>
          </cell>
          <cell r="G25">
            <v>187717.13</v>
          </cell>
        </row>
        <row r="26">
          <cell r="A26">
            <v>23</v>
          </cell>
          <cell r="B26">
            <v>200004</v>
          </cell>
          <cell r="C26">
            <v>204194</v>
          </cell>
          <cell r="D26">
            <v>207097</v>
          </cell>
          <cell r="E26">
            <v>211289</v>
          </cell>
          <cell r="F26">
            <v>214190</v>
          </cell>
          <cell r="G26">
            <v>191104.14</v>
          </cell>
        </row>
        <row r="27">
          <cell r="A27">
            <v>24</v>
          </cell>
          <cell r="B27">
            <v>203235</v>
          </cell>
          <cell r="C27">
            <v>207308</v>
          </cell>
          <cell r="D27">
            <v>210128</v>
          </cell>
          <cell r="E27">
            <v>214201</v>
          </cell>
          <cell r="F27">
            <v>217021</v>
          </cell>
          <cell r="G27">
            <v>194587.44</v>
          </cell>
        </row>
        <row r="28">
          <cell r="A28">
            <v>25</v>
          </cell>
          <cell r="B28">
            <v>206538</v>
          </cell>
          <cell r="C28">
            <v>210484</v>
          </cell>
          <cell r="D28">
            <v>213216</v>
          </cell>
          <cell r="E28">
            <v>217162</v>
          </cell>
          <cell r="F28">
            <v>219894</v>
          </cell>
          <cell r="G28">
            <v>198161</v>
          </cell>
        </row>
        <row r="29">
          <cell r="A29">
            <v>26</v>
          </cell>
          <cell r="B29">
            <v>209918</v>
          </cell>
          <cell r="C29">
            <v>213727</v>
          </cell>
          <cell r="D29">
            <v>216364</v>
          </cell>
          <cell r="E29">
            <v>220174</v>
          </cell>
          <cell r="F29">
            <v>222811</v>
          </cell>
          <cell r="G29">
            <v>201828.54</v>
          </cell>
        </row>
        <row r="30">
          <cell r="A30">
            <v>27</v>
          </cell>
          <cell r="B30">
            <v>213370</v>
          </cell>
          <cell r="C30">
            <v>217033</v>
          </cell>
          <cell r="D30">
            <v>219570</v>
          </cell>
          <cell r="E30">
            <v>223233</v>
          </cell>
          <cell r="F30">
            <v>225770</v>
          </cell>
          <cell r="G30">
            <v>205591</v>
          </cell>
        </row>
        <row r="31">
          <cell r="A31">
            <v>28</v>
          </cell>
          <cell r="B31">
            <v>216901</v>
          </cell>
          <cell r="C31">
            <v>220409</v>
          </cell>
          <cell r="D31">
            <v>222837</v>
          </cell>
          <cell r="E31">
            <v>226345</v>
          </cell>
          <cell r="F31">
            <v>228774</v>
          </cell>
          <cell r="G31">
            <v>209453.43</v>
          </cell>
        </row>
        <row r="32">
          <cell r="A32">
            <v>29</v>
          </cell>
          <cell r="B32">
            <v>220510</v>
          </cell>
          <cell r="C32">
            <v>223852</v>
          </cell>
          <cell r="D32">
            <v>226166</v>
          </cell>
          <cell r="E32">
            <v>229508</v>
          </cell>
          <cell r="F32">
            <v>231821</v>
          </cell>
          <cell r="G32">
            <v>213415.37</v>
          </cell>
        </row>
        <row r="33">
          <cell r="A33">
            <v>30</v>
          </cell>
          <cell r="B33">
            <v>224202</v>
          </cell>
          <cell r="C33">
            <v>227367</v>
          </cell>
          <cell r="D33">
            <v>229558</v>
          </cell>
          <cell r="E33">
            <v>232721</v>
          </cell>
          <cell r="F33">
            <v>234912</v>
          </cell>
          <cell r="G33">
            <v>217481.83</v>
          </cell>
        </row>
        <row r="34">
          <cell r="A34">
            <v>31</v>
          </cell>
          <cell r="B34">
            <v>227973</v>
          </cell>
          <cell r="C34">
            <v>230949</v>
          </cell>
          <cell r="D34">
            <v>233011</v>
          </cell>
          <cell r="E34">
            <v>235987</v>
          </cell>
          <cell r="F34">
            <v>238048</v>
          </cell>
          <cell r="G34">
            <v>221653.7</v>
          </cell>
        </row>
        <row r="35">
          <cell r="A35">
            <v>32</v>
          </cell>
          <cell r="B35">
            <v>231831</v>
          </cell>
          <cell r="C35">
            <v>234607</v>
          </cell>
          <cell r="D35">
            <v>236529</v>
          </cell>
          <cell r="E35">
            <v>239306</v>
          </cell>
          <cell r="F35">
            <v>241227</v>
          </cell>
          <cell r="G35">
            <v>225935.95</v>
          </cell>
        </row>
        <row r="36">
          <cell r="A36">
            <v>33</v>
          </cell>
          <cell r="B36">
            <v>235771</v>
          </cell>
          <cell r="C36">
            <v>238334</v>
          </cell>
          <cell r="D36">
            <v>240110</v>
          </cell>
          <cell r="E36">
            <v>242674</v>
          </cell>
          <cell r="F36">
            <v>244449</v>
          </cell>
          <cell r="G36">
            <v>230328.08</v>
          </cell>
        </row>
        <row r="37">
          <cell r="A37">
            <v>34</v>
          </cell>
          <cell r="B37">
            <v>239801</v>
          </cell>
          <cell r="C37">
            <v>242140</v>
          </cell>
          <cell r="D37">
            <v>243759</v>
          </cell>
          <cell r="E37">
            <v>246096</v>
          </cell>
          <cell r="F37">
            <v>247715</v>
          </cell>
          <cell r="G37">
            <v>234836.36</v>
          </cell>
        </row>
        <row r="38">
          <cell r="A38">
            <v>35</v>
          </cell>
          <cell r="B38">
            <v>243921</v>
          </cell>
          <cell r="C38">
            <v>246021</v>
          </cell>
          <cell r="D38">
            <v>247474</v>
          </cell>
          <cell r="E38">
            <v>249574</v>
          </cell>
          <cell r="F38">
            <v>251027</v>
          </cell>
          <cell r="G38">
            <v>239462.99</v>
          </cell>
        </row>
        <row r="39">
          <cell r="A39">
            <v>36</v>
          </cell>
          <cell r="B39">
            <v>248130</v>
          </cell>
          <cell r="C39">
            <v>249976</v>
          </cell>
          <cell r="D39">
            <v>251255</v>
          </cell>
          <cell r="E39">
            <v>253102</v>
          </cell>
          <cell r="F39">
            <v>254380</v>
          </cell>
          <cell r="G39">
            <v>244208.78</v>
          </cell>
        </row>
        <row r="40">
          <cell r="A40">
            <v>37</v>
          </cell>
          <cell r="B40">
            <v>252432</v>
          </cell>
          <cell r="C40">
            <v>254012</v>
          </cell>
          <cell r="D40">
            <v>255104</v>
          </cell>
          <cell r="E40">
            <v>256684</v>
          </cell>
          <cell r="F40">
            <v>257778</v>
          </cell>
          <cell r="G40">
            <v>249078.59</v>
          </cell>
        </row>
        <row r="41">
          <cell r="A41">
            <v>38</v>
          </cell>
          <cell r="B41">
            <v>256976</v>
          </cell>
          <cell r="C41">
            <v>258297</v>
          </cell>
          <cell r="D41">
            <v>259212</v>
          </cell>
          <cell r="E41">
            <v>260534</v>
          </cell>
          <cell r="F41">
            <v>261450</v>
          </cell>
          <cell r="G41">
            <v>254168.8</v>
          </cell>
        </row>
        <row r="42">
          <cell r="A42">
            <v>39</v>
          </cell>
          <cell r="B42">
            <v>261564</v>
          </cell>
          <cell r="C42">
            <v>262582</v>
          </cell>
          <cell r="D42">
            <v>263287</v>
          </cell>
          <cell r="E42">
            <v>264304</v>
          </cell>
          <cell r="F42">
            <v>265009</v>
          </cell>
          <cell r="G42">
            <v>259403.21</v>
          </cell>
        </row>
        <row r="43">
          <cell r="A43">
            <v>40</v>
          </cell>
          <cell r="B43">
            <v>266252</v>
          </cell>
          <cell r="C43">
            <v>266948</v>
          </cell>
          <cell r="D43">
            <v>267430</v>
          </cell>
          <cell r="E43">
            <v>268126</v>
          </cell>
          <cell r="F43">
            <v>268608</v>
          </cell>
          <cell r="G43">
            <v>264773.06</v>
          </cell>
        </row>
        <row r="44">
          <cell r="A44">
            <v>41</v>
          </cell>
          <cell r="B44">
            <v>271043</v>
          </cell>
          <cell r="C44">
            <v>271399</v>
          </cell>
          <cell r="D44">
            <v>271647</v>
          </cell>
          <cell r="E44">
            <v>272004</v>
          </cell>
          <cell r="F44">
            <v>272251</v>
          </cell>
          <cell r="G44">
            <v>270283.09000000003</v>
          </cell>
        </row>
        <row r="45">
          <cell r="A45">
            <v>42</v>
          </cell>
          <cell r="B45">
            <v>275937</v>
          </cell>
          <cell r="C45">
            <v>275937</v>
          </cell>
          <cell r="D45">
            <v>275937</v>
          </cell>
          <cell r="E45">
            <v>275937</v>
          </cell>
          <cell r="F45">
            <v>275937</v>
          </cell>
          <cell r="G45">
            <v>275936.7</v>
          </cell>
        </row>
        <row r="46">
          <cell r="A46">
            <v>43</v>
          </cell>
          <cell r="B46">
            <v>282063</v>
          </cell>
          <cell r="C46">
            <v>282063</v>
          </cell>
          <cell r="D46">
            <v>282063</v>
          </cell>
          <cell r="E46">
            <v>282063</v>
          </cell>
          <cell r="F46">
            <v>282063</v>
          </cell>
          <cell r="G46">
            <v>282062.88</v>
          </cell>
        </row>
        <row r="47">
          <cell r="A47">
            <v>44</v>
          </cell>
          <cell r="B47">
            <v>288356</v>
          </cell>
          <cell r="C47">
            <v>288356</v>
          </cell>
          <cell r="D47">
            <v>288356</v>
          </cell>
          <cell r="E47">
            <v>288356</v>
          </cell>
          <cell r="F47">
            <v>288356</v>
          </cell>
          <cell r="G47">
            <v>288356.47999999998</v>
          </cell>
        </row>
        <row r="48">
          <cell r="A48">
            <v>45</v>
          </cell>
          <cell r="B48">
            <v>294824</v>
          </cell>
          <cell r="C48">
            <v>294824</v>
          </cell>
          <cell r="D48">
            <v>294824</v>
          </cell>
          <cell r="E48">
            <v>294824</v>
          </cell>
          <cell r="F48">
            <v>294824</v>
          </cell>
          <cell r="G48">
            <v>294824.2</v>
          </cell>
        </row>
        <row r="49">
          <cell r="A49">
            <v>46</v>
          </cell>
          <cell r="B49">
            <v>301470</v>
          </cell>
          <cell r="C49">
            <v>301470</v>
          </cell>
          <cell r="D49">
            <v>301470</v>
          </cell>
          <cell r="E49">
            <v>301470</v>
          </cell>
          <cell r="F49">
            <v>301470</v>
          </cell>
          <cell r="G49">
            <v>301470.05</v>
          </cell>
        </row>
        <row r="50">
          <cell r="A50">
            <v>47</v>
          </cell>
          <cell r="B50">
            <v>315314</v>
          </cell>
          <cell r="C50">
            <v>315314</v>
          </cell>
          <cell r="D50">
            <v>315314</v>
          </cell>
          <cell r="E50">
            <v>315314</v>
          </cell>
          <cell r="F50">
            <v>315314</v>
          </cell>
          <cell r="G50">
            <v>315313.56</v>
          </cell>
        </row>
        <row r="51">
          <cell r="A51">
            <v>48</v>
          </cell>
          <cell r="B51">
            <v>336492</v>
          </cell>
          <cell r="C51">
            <v>336492</v>
          </cell>
          <cell r="D51">
            <v>336492</v>
          </cell>
          <cell r="E51">
            <v>336492</v>
          </cell>
          <cell r="F51">
            <v>336492</v>
          </cell>
          <cell r="G51">
            <v>336491.35</v>
          </cell>
        </row>
        <row r="52">
          <cell r="A52">
            <v>49</v>
          </cell>
          <cell r="B52">
            <v>359957</v>
          </cell>
          <cell r="C52">
            <v>359957</v>
          </cell>
          <cell r="D52">
            <v>359957</v>
          </cell>
          <cell r="E52">
            <v>359957</v>
          </cell>
          <cell r="F52">
            <v>359957</v>
          </cell>
          <cell r="G52">
            <v>359956.74</v>
          </cell>
        </row>
        <row r="53">
          <cell r="A53">
            <v>50</v>
          </cell>
          <cell r="B53">
            <v>397581</v>
          </cell>
          <cell r="C53">
            <v>397581</v>
          </cell>
          <cell r="D53">
            <v>397581</v>
          </cell>
          <cell r="E53">
            <v>397581</v>
          </cell>
          <cell r="F53">
            <v>397581</v>
          </cell>
          <cell r="G53">
            <v>397581.73</v>
          </cell>
        </row>
        <row r="54">
          <cell r="A54">
            <v>51</v>
          </cell>
          <cell r="B54">
            <v>444240</v>
          </cell>
          <cell r="C54">
            <v>444240</v>
          </cell>
          <cell r="D54">
            <v>444240</v>
          </cell>
          <cell r="E54">
            <v>444240</v>
          </cell>
          <cell r="F54">
            <v>444240</v>
          </cell>
          <cell r="G54">
            <v>444240.63</v>
          </cell>
        </row>
        <row r="55">
          <cell r="A55">
            <v>52</v>
          </cell>
          <cell r="B55">
            <v>484035</v>
          </cell>
          <cell r="C55">
            <v>484035</v>
          </cell>
          <cell r="D55">
            <v>484035</v>
          </cell>
          <cell r="E55">
            <v>484035</v>
          </cell>
          <cell r="F55">
            <v>484035</v>
          </cell>
          <cell r="G55">
            <v>484035.37</v>
          </cell>
        </row>
        <row r="56">
          <cell r="A56">
            <v>53</v>
          </cell>
          <cell r="B56">
            <v>538581</v>
          </cell>
          <cell r="C56">
            <v>538581</v>
          </cell>
          <cell r="D56">
            <v>538581</v>
          </cell>
          <cell r="E56">
            <v>538581</v>
          </cell>
          <cell r="F56">
            <v>538581</v>
          </cell>
          <cell r="G56">
            <v>538581.69999999995</v>
          </cell>
        </row>
        <row r="57">
          <cell r="A57">
            <v>54</v>
          </cell>
          <cell r="B57">
            <v>604096</v>
          </cell>
          <cell r="C57">
            <v>604096</v>
          </cell>
          <cell r="D57">
            <v>604096</v>
          </cell>
          <cell r="E57">
            <v>604096</v>
          </cell>
          <cell r="F57">
            <v>604096</v>
          </cell>
          <cell r="G57">
            <v>604095.94999999995</v>
          </cell>
        </row>
        <row r="58">
          <cell r="A58">
            <v>55</v>
          </cell>
          <cell r="B58">
            <v>679129</v>
          </cell>
          <cell r="C58">
            <v>679129</v>
          </cell>
          <cell r="D58">
            <v>679129</v>
          </cell>
          <cell r="E58">
            <v>679129</v>
          </cell>
          <cell r="F58">
            <v>679129</v>
          </cell>
          <cell r="G58">
            <v>679128.96</v>
          </cell>
        </row>
        <row r="59">
          <cell r="A59" t="str">
            <v>Læ1</v>
          </cell>
          <cell r="B59">
            <v>213400</v>
          </cell>
          <cell r="C59">
            <v>213400</v>
          </cell>
          <cell r="D59">
            <v>213400</v>
          </cell>
          <cell r="E59">
            <v>213400</v>
          </cell>
          <cell r="F59">
            <v>213400</v>
          </cell>
          <cell r="G59">
            <v>213400</v>
          </cell>
        </row>
        <row r="60">
          <cell r="A60" t="str">
            <v>Læ2</v>
          </cell>
          <cell r="B60">
            <v>227400</v>
          </cell>
          <cell r="C60">
            <v>227400</v>
          </cell>
          <cell r="D60">
            <v>227400</v>
          </cell>
          <cell r="E60">
            <v>227400</v>
          </cell>
          <cell r="F60">
            <v>227400</v>
          </cell>
          <cell r="G60">
            <v>227400</v>
          </cell>
        </row>
        <row r="61">
          <cell r="A61" t="str">
            <v>Læ3</v>
          </cell>
          <cell r="B61">
            <v>248500</v>
          </cell>
          <cell r="C61">
            <v>248500</v>
          </cell>
          <cell r="D61">
            <v>248500</v>
          </cell>
          <cell r="E61">
            <v>248500</v>
          </cell>
          <cell r="F61">
            <v>248500</v>
          </cell>
          <cell r="G61">
            <v>248500</v>
          </cell>
        </row>
        <row r="62">
          <cell r="A62" t="str">
            <v>Bh1</v>
          </cell>
          <cell r="B62">
            <v>203400</v>
          </cell>
          <cell r="C62">
            <v>203400</v>
          </cell>
          <cell r="D62">
            <v>203400</v>
          </cell>
          <cell r="E62">
            <v>203400</v>
          </cell>
          <cell r="F62">
            <v>203400</v>
          </cell>
          <cell r="G62">
            <v>203400</v>
          </cell>
        </row>
        <row r="63">
          <cell r="A63" t="str">
            <v>Bh2</v>
          </cell>
          <cell r="B63">
            <v>213400</v>
          </cell>
          <cell r="C63">
            <v>213400</v>
          </cell>
          <cell r="D63">
            <v>213400</v>
          </cell>
          <cell r="E63">
            <v>213400</v>
          </cell>
          <cell r="F63">
            <v>213400</v>
          </cell>
          <cell r="G63">
            <v>213400</v>
          </cell>
        </row>
        <row r="64">
          <cell r="A64" t="str">
            <v>Bh3</v>
          </cell>
          <cell r="B64">
            <v>221500</v>
          </cell>
          <cell r="C64">
            <v>221500</v>
          </cell>
          <cell r="D64">
            <v>221500</v>
          </cell>
          <cell r="E64">
            <v>221500</v>
          </cell>
          <cell r="F64">
            <v>221500</v>
          </cell>
          <cell r="G64">
            <v>221500</v>
          </cell>
        </row>
        <row r="69">
          <cell r="A69" t="str">
            <v>Læ1</v>
          </cell>
          <cell r="B69">
            <v>0</v>
          </cell>
          <cell r="C69">
            <v>3900</v>
          </cell>
          <cell r="D69">
            <v>6900</v>
          </cell>
          <cell r="E69">
            <v>10800</v>
          </cell>
          <cell r="F69">
            <v>13800</v>
          </cell>
        </row>
        <row r="70">
          <cell r="A70" t="str">
            <v>Læ2</v>
          </cell>
          <cell r="B70">
            <v>0</v>
          </cell>
          <cell r="C70">
            <v>3300</v>
          </cell>
          <cell r="D70">
            <v>5700</v>
          </cell>
          <cell r="E70">
            <v>9000</v>
          </cell>
          <cell r="F70">
            <v>11400</v>
          </cell>
        </row>
        <row r="71">
          <cell r="A71" t="str">
            <v>Læ3</v>
          </cell>
          <cell r="B71">
            <v>0</v>
          </cell>
          <cell r="C71">
            <v>2100</v>
          </cell>
          <cell r="D71">
            <v>3900</v>
          </cell>
          <cell r="E71">
            <v>6000</v>
          </cell>
          <cell r="F71">
            <v>7500</v>
          </cell>
        </row>
        <row r="72">
          <cell r="A72" t="str">
            <v>Bh1</v>
          </cell>
          <cell r="B72">
            <v>0</v>
          </cell>
          <cell r="C72">
            <v>4500</v>
          </cell>
          <cell r="D72">
            <v>7500</v>
          </cell>
          <cell r="E72">
            <v>12000</v>
          </cell>
          <cell r="F72">
            <v>15000</v>
          </cell>
        </row>
        <row r="73">
          <cell r="A73" t="str">
            <v>Bh2</v>
          </cell>
          <cell r="B73">
            <v>0</v>
          </cell>
          <cell r="C73">
            <v>3900</v>
          </cell>
          <cell r="D73">
            <v>6900</v>
          </cell>
          <cell r="E73">
            <v>10800</v>
          </cell>
          <cell r="F73">
            <v>13800</v>
          </cell>
        </row>
        <row r="74">
          <cell r="A74" t="str">
            <v>Bh3</v>
          </cell>
          <cell r="B74">
            <v>0</v>
          </cell>
          <cell r="C74">
            <v>3600</v>
          </cell>
          <cell r="D74">
            <v>6300</v>
          </cell>
          <cell r="E74">
            <v>9900</v>
          </cell>
          <cell r="F74">
            <v>12600</v>
          </cell>
        </row>
      </sheetData>
      <sheetData sheetId="5">
        <row r="4">
          <cell r="A4">
            <v>1</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Vejledning"/>
      <sheetName val="Nylønstillæg"/>
      <sheetName val="Ex09_10"/>
      <sheetName val="Ex10_11"/>
      <sheetName val="Ex11_12"/>
      <sheetName val="Lonspec"/>
      <sheetName val="A"/>
      <sheetName val="B"/>
      <sheetName val="C"/>
      <sheetName val="D"/>
      <sheetName val="E"/>
      <sheetName val="F"/>
      <sheetName val="G"/>
      <sheetName val="H"/>
      <sheetName val="I"/>
      <sheetName val="J"/>
      <sheetName val="K"/>
      <sheetName val="L"/>
      <sheetName val="M"/>
      <sheetName val="N"/>
      <sheetName val="O"/>
      <sheetName val="P"/>
      <sheetName val="LonspecLeder"/>
      <sheetName val="Leder"/>
      <sheetName val="Grundlon"/>
      <sheetName val="andr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ow r="4">
          <cell r="A4">
            <v>1</v>
          </cell>
          <cell r="B4">
            <v>141011</v>
          </cell>
          <cell r="C4">
            <v>143641</v>
          </cell>
          <cell r="D4">
            <v>145461</v>
          </cell>
          <cell r="E4">
            <v>148092</v>
          </cell>
          <cell r="F4">
            <v>149912</v>
          </cell>
          <cell r="G4">
            <v>131168.56</v>
          </cell>
        </row>
        <row r="5">
          <cell r="A5">
            <v>2</v>
          </cell>
          <cell r="B5">
            <v>143176</v>
          </cell>
          <cell r="C5">
            <v>145871</v>
          </cell>
          <cell r="D5">
            <v>147736</v>
          </cell>
          <cell r="E5">
            <v>150429</v>
          </cell>
          <cell r="F5">
            <v>152295</v>
          </cell>
          <cell r="G5">
            <v>133198.04</v>
          </cell>
        </row>
        <row r="6">
          <cell r="A6">
            <v>3</v>
          </cell>
          <cell r="B6">
            <v>145401</v>
          </cell>
          <cell r="C6">
            <v>148160</v>
          </cell>
          <cell r="D6">
            <v>150071</v>
          </cell>
          <cell r="E6">
            <v>152830</v>
          </cell>
          <cell r="F6">
            <v>154742</v>
          </cell>
          <cell r="G6">
            <v>135282.59</v>
          </cell>
        </row>
        <row r="7">
          <cell r="A7">
            <v>4</v>
          </cell>
          <cell r="B7">
            <v>147687</v>
          </cell>
          <cell r="C7">
            <v>150515</v>
          </cell>
          <cell r="D7">
            <v>152473</v>
          </cell>
          <cell r="E7">
            <v>155300</v>
          </cell>
          <cell r="F7">
            <v>157257</v>
          </cell>
          <cell r="G7">
            <v>137424.97</v>
          </cell>
        </row>
        <row r="8">
          <cell r="A8">
            <v>5</v>
          </cell>
          <cell r="B8">
            <v>150035</v>
          </cell>
          <cell r="C8">
            <v>152932</v>
          </cell>
          <cell r="D8">
            <v>154939</v>
          </cell>
          <cell r="E8">
            <v>157836</v>
          </cell>
          <cell r="F8">
            <v>159841</v>
          </cell>
          <cell r="G8">
            <v>139625.18</v>
          </cell>
        </row>
        <row r="9">
          <cell r="A9">
            <v>6</v>
          </cell>
          <cell r="B9">
            <v>152450</v>
          </cell>
          <cell r="C9">
            <v>155418</v>
          </cell>
          <cell r="D9">
            <v>157474</v>
          </cell>
          <cell r="E9">
            <v>160442</v>
          </cell>
          <cell r="F9">
            <v>162497</v>
          </cell>
          <cell r="G9">
            <v>141887.34</v>
          </cell>
        </row>
        <row r="10">
          <cell r="A10">
            <v>7</v>
          </cell>
          <cell r="B10">
            <v>154928</v>
          </cell>
          <cell r="C10">
            <v>157970</v>
          </cell>
          <cell r="D10">
            <v>160076</v>
          </cell>
          <cell r="E10">
            <v>163118</v>
          </cell>
          <cell r="F10">
            <v>165223</v>
          </cell>
          <cell r="G10">
            <v>144210.09</v>
          </cell>
        </row>
        <row r="11">
          <cell r="A11">
            <v>8</v>
          </cell>
          <cell r="B11">
            <v>157475</v>
          </cell>
          <cell r="C11">
            <v>160592</v>
          </cell>
          <cell r="D11">
            <v>162751</v>
          </cell>
          <cell r="E11">
            <v>165868</v>
          </cell>
          <cell r="F11">
            <v>168027</v>
          </cell>
          <cell r="G11">
            <v>146597.54999999999</v>
          </cell>
        </row>
        <row r="12">
          <cell r="A12">
            <v>9</v>
          </cell>
          <cell r="B12">
            <v>160094</v>
          </cell>
          <cell r="C12">
            <v>163288</v>
          </cell>
          <cell r="D12">
            <v>165501</v>
          </cell>
          <cell r="E12">
            <v>168695</v>
          </cell>
          <cell r="F12">
            <v>170908</v>
          </cell>
          <cell r="G12">
            <v>149051.1</v>
          </cell>
        </row>
        <row r="13">
          <cell r="A13">
            <v>10</v>
          </cell>
          <cell r="B13">
            <v>162783</v>
          </cell>
          <cell r="C13">
            <v>166058</v>
          </cell>
          <cell r="D13">
            <v>168325</v>
          </cell>
          <cell r="E13">
            <v>171600</v>
          </cell>
          <cell r="F13">
            <v>173868</v>
          </cell>
          <cell r="G13">
            <v>151572.10999999999</v>
          </cell>
        </row>
        <row r="14">
          <cell r="A14">
            <v>11</v>
          </cell>
          <cell r="B14">
            <v>164905</v>
          </cell>
          <cell r="C14">
            <v>168261</v>
          </cell>
          <cell r="D14">
            <v>170585</v>
          </cell>
          <cell r="E14">
            <v>173941</v>
          </cell>
          <cell r="F14">
            <v>176265</v>
          </cell>
          <cell r="G14">
            <v>154161.97</v>
          </cell>
        </row>
        <row r="15">
          <cell r="A15">
            <v>12</v>
          </cell>
          <cell r="B15">
            <v>167744</v>
          </cell>
          <cell r="C15">
            <v>171185</v>
          </cell>
          <cell r="D15">
            <v>173568</v>
          </cell>
          <cell r="E15">
            <v>177008</v>
          </cell>
          <cell r="F15">
            <v>179390</v>
          </cell>
          <cell r="G15">
            <v>156823.42000000001</v>
          </cell>
        </row>
        <row r="16">
          <cell r="A16">
            <v>13</v>
          </cell>
          <cell r="B16">
            <v>170663</v>
          </cell>
          <cell r="C16">
            <v>174190</v>
          </cell>
          <cell r="D16">
            <v>176632</v>
          </cell>
          <cell r="E16">
            <v>180160</v>
          </cell>
          <cell r="F16">
            <v>182601</v>
          </cell>
          <cell r="G16">
            <v>159557.85</v>
          </cell>
        </row>
        <row r="17">
          <cell r="A17">
            <v>14</v>
          </cell>
          <cell r="B17">
            <v>173661</v>
          </cell>
          <cell r="C17">
            <v>177278</v>
          </cell>
          <cell r="D17">
            <v>179781</v>
          </cell>
          <cell r="E17">
            <v>183397</v>
          </cell>
          <cell r="F17">
            <v>185900</v>
          </cell>
          <cell r="G17">
            <v>162368</v>
          </cell>
        </row>
        <row r="18">
          <cell r="A18">
            <v>15</v>
          </cell>
          <cell r="B18">
            <v>176742</v>
          </cell>
          <cell r="C18">
            <v>180449</v>
          </cell>
          <cell r="D18">
            <v>183015</v>
          </cell>
          <cell r="E18">
            <v>186723</v>
          </cell>
          <cell r="F18">
            <v>189289</v>
          </cell>
          <cell r="G18">
            <v>165253.88</v>
          </cell>
        </row>
        <row r="19">
          <cell r="A19">
            <v>16</v>
          </cell>
          <cell r="B19">
            <v>179103</v>
          </cell>
          <cell r="C19">
            <v>182904</v>
          </cell>
          <cell r="D19">
            <v>185536</v>
          </cell>
          <cell r="E19">
            <v>189337</v>
          </cell>
          <cell r="F19">
            <v>191969</v>
          </cell>
          <cell r="G19">
            <v>168220.99</v>
          </cell>
        </row>
        <row r="20">
          <cell r="A20">
            <v>17</v>
          </cell>
          <cell r="B20">
            <v>182355</v>
          </cell>
          <cell r="C20">
            <v>186253</v>
          </cell>
          <cell r="D20">
            <v>188951</v>
          </cell>
          <cell r="E20">
            <v>192849</v>
          </cell>
          <cell r="F20">
            <v>195546</v>
          </cell>
          <cell r="G20">
            <v>171267.96</v>
          </cell>
        </row>
        <row r="21">
          <cell r="A21">
            <v>18</v>
          </cell>
          <cell r="B21">
            <v>185698</v>
          </cell>
          <cell r="C21">
            <v>189695</v>
          </cell>
          <cell r="D21">
            <v>192462</v>
          </cell>
          <cell r="E21">
            <v>196458</v>
          </cell>
          <cell r="F21">
            <v>199224</v>
          </cell>
          <cell r="G21">
            <v>174400.3</v>
          </cell>
        </row>
        <row r="22">
          <cell r="A22">
            <v>19</v>
          </cell>
          <cell r="B22">
            <v>188193</v>
          </cell>
          <cell r="C22">
            <v>192292</v>
          </cell>
          <cell r="D22">
            <v>195128</v>
          </cell>
          <cell r="E22">
            <v>199227</v>
          </cell>
          <cell r="F22">
            <v>202065</v>
          </cell>
          <cell r="G22">
            <v>177618</v>
          </cell>
        </row>
        <row r="23">
          <cell r="A23">
            <v>20</v>
          </cell>
          <cell r="B23">
            <v>190784</v>
          </cell>
          <cell r="C23">
            <v>194986</v>
          </cell>
          <cell r="D23">
            <v>197896</v>
          </cell>
          <cell r="E23">
            <v>202098</v>
          </cell>
          <cell r="F23">
            <v>205007</v>
          </cell>
          <cell r="G23">
            <v>180923.82</v>
          </cell>
        </row>
        <row r="24">
          <cell r="A24">
            <v>21</v>
          </cell>
          <cell r="B24">
            <v>193942</v>
          </cell>
          <cell r="C24">
            <v>198252</v>
          </cell>
          <cell r="D24">
            <v>201236</v>
          </cell>
          <cell r="E24">
            <v>205546</v>
          </cell>
          <cell r="F24">
            <v>208530</v>
          </cell>
          <cell r="G24">
            <v>184321.88</v>
          </cell>
        </row>
        <row r="25">
          <cell r="A25">
            <v>22</v>
          </cell>
          <cell r="B25">
            <v>196868</v>
          </cell>
          <cell r="C25">
            <v>201178</v>
          </cell>
          <cell r="D25">
            <v>204162</v>
          </cell>
          <cell r="E25">
            <v>208472</v>
          </cell>
          <cell r="F25">
            <v>211456</v>
          </cell>
          <cell r="G25">
            <v>187717.13</v>
          </cell>
        </row>
        <row r="26">
          <cell r="A26">
            <v>23</v>
          </cell>
          <cell r="B26">
            <v>200004</v>
          </cell>
          <cell r="C26">
            <v>204194</v>
          </cell>
          <cell r="D26">
            <v>207097</v>
          </cell>
          <cell r="E26">
            <v>211289</v>
          </cell>
          <cell r="F26">
            <v>214190</v>
          </cell>
          <cell r="G26">
            <v>191104.14</v>
          </cell>
        </row>
        <row r="27">
          <cell r="A27">
            <v>24</v>
          </cell>
          <cell r="B27">
            <v>203235</v>
          </cell>
          <cell r="C27">
            <v>207308</v>
          </cell>
          <cell r="D27">
            <v>210128</v>
          </cell>
          <cell r="E27">
            <v>214201</v>
          </cell>
          <cell r="F27">
            <v>217021</v>
          </cell>
          <cell r="G27">
            <v>194587.44</v>
          </cell>
        </row>
        <row r="28">
          <cell r="A28">
            <v>25</v>
          </cell>
          <cell r="B28">
            <v>206538</v>
          </cell>
          <cell r="C28">
            <v>210484</v>
          </cell>
          <cell r="D28">
            <v>213216</v>
          </cell>
          <cell r="E28">
            <v>217162</v>
          </cell>
          <cell r="F28">
            <v>219894</v>
          </cell>
          <cell r="G28">
            <v>198161</v>
          </cell>
        </row>
        <row r="29">
          <cell r="A29">
            <v>26</v>
          </cell>
          <cell r="B29">
            <v>209918</v>
          </cell>
          <cell r="C29">
            <v>213727</v>
          </cell>
          <cell r="D29">
            <v>216364</v>
          </cell>
          <cell r="E29">
            <v>220174</v>
          </cell>
          <cell r="F29">
            <v>222811</v>
          </cell>
          <cell r="G29">
            <v>201828.54</v>
          </cell>
        </row>
        <row r="30">
          <cell r="A30">
            <v>27</v>
          </cell>
          <cell r="B30">
            <v>213370</v>
          </cell>
          <cell r="C30">
            <v>217033</v>
          </cell>
          <cell r="D30">
            <v>219570</v>
          </cell>
          <cell r="E30">
            <v>223233</v>
          </cell>
          <cell r="F30">
            <v>225770</v>
          </cell>
          <cell r="G30">
            <v>205591</v>
          </cell>
        </row>
        <row r="31">
          <cell r="A31">
            <v>28</v>
          </cell>
          <cell r="B31">
            <v>216901</v>
          </cell>
          <cell r="C31">
            <v>220409</v>
          </cell>
          <cell r="D31">
            <v>222837</v>
          </cell>
          <cell r="E31">
            <v>226345</v>
          </cell>
          <cell r="F31">
            <v>228774</v>
          </cell>
          <cell r="G31">
            <v>209453.43</v>
          </cell>
        </row>
        <row r="32">
          <cell r="A32">
            <v>29</v>
          </cell>
          <cell r="B32">
            <v>220510</v>
          </cell>
          <cell r="C32">
            <v>223852</v>
          </cell>
          <cell r="D32">
            <v>226166</v>
          </cell>
          <cell r="E32">
            <v>229508</v>
          </cell>
          <cell r="F32">
            <v>231821</v>
          </cell>
          <cell r="G32">
            <v>213415.37</v>
          </cell>
        </row>
        <row r="33">
          <cell r="A33">
            <v>30</v>
          </cell>
          <cell r="B33">
            <v>224202</v>
          </cell>
          <cell r="C33">
            <v>227367</v>
          </cell>
          <cell r="D33">
            <v>229558</v>
          </cell>
          <cell r="E33">
            <v>232721</v>
          </cell>
          <cell r="F33">
            <v>234912</v>
          </cell>
          <cell r="G33">
            <v>217481.83</v>
          </cell>
        </row>
        <row r="34">
          <cell r="A34">
            <v>31</v>
          </cell>
          <cell r="B34">
            <v>227973</v>
          </cell>
          <cell r="C34">
            <v>230949</v>
          </cell>
          <cell r="D34">
            <v>233011</v>
          </cell>
          <cell r="E34">
            <v>235987</v>
          </cell>
          <cell r="F34">
            <v>238048</v>
          </cell>
          <cell r="G34">
            <v>221653.7</v>
          </cell>
        </row>
        <row r="35">
          <cell r="A35">
            <v>32</v>
          </cell>
          <cell r="B35">
            <v>231831</v>
          </cell>
          <cell r="C35">
            <v>234607</v>
          </cell>
          <cell r="D35">
            <v>236529</v>
          </cell>
          <cell r="E35">
            <v>239306</v>
          </cell>
          <cell r="F35">
            <v>241227</v>
          </cell>
          <cell r="G35">
            <v>225935.95</v>
          </cell>
        </row>
        <row r="36">
          <cell r="A36">
            <v>33</v>
          </cell>
          <cell r="B36">
            <v>235771</v>
          </cell>
          <cell r="C36">
            <v>238334</v>
          </cell>
          <cell r="D36">
            <v>240110</v>
          </cell>
          <cell r="E36">
            <v>242674</v>
          </cell>
          <cell r="F36">
            <v>244449</v>
          </cell>
          <cell r="G36">
            <v>230328.08</v>
          </cell>
        </row>
        <row r="37">
          <cell r="A37">
            <v>34</v>
          </cell>
          <cell r="B37">
            <v>239801</v>
          </cell>
          <cell r="C37">
            <v>242140</v>
          </cell>
          <cell r="D37">
            <v>243759</v>
          </cell>
          <cell r="E37">
            <v>246096</v>
          </cell>
          <cell r="F37">
            <v>247715</v>
          </cell>
          <cell r="G37">
            <v>234836.36</v>
          </cell>
        </row>
        <row r="38">
          <cell r="A38">
            <v>35</v>
          </cell>
          <cell r="B38">
            <v>243921</v>
          </cell>
          <cell r="C38">
            <v>246021</v>
          </cell>
          <cell r="D38">
            <v>247474</v>
          </cell>
          <cell r="E38">
            <v>249574</v>
          </cell>
          <cell r="F38">
            <v>251027</v>
          </cell>
          <cell r="G38">
            <v>239462.99</v>
          </cell>
        </row>
        <row r="39">
          <cell r="A39">
            <v>36</v>
          </cell>
          <cell r="B39">
            <v>248130</v>
          </cell>
          <cell r="C39">
            <v>249976</v>
          </cell>
          <cell r="D39">
            <v>251255</v>
          </cell>
          <cell r="E39">
            <v>253102</v>
          </cell>
          <cell r="F39">
            <v>254380</v>
          </cell>
          <cell r="G39">
            <v>244208.78</v>
          </cell>
        </row>
        <row r="40">
          <cell r="A40">
            <v>37</v>
          </cell>
          <cell r="B40">
            <v>252432</v>
          </cell>
          <cell r="C40">
            <v>254012</v>
          </cell>
          <cell r="D40">
            <v>255104</v>
          </cell>
          <cell r="E40">
            <v>256684</v>
          </cell>
          <cell r="F40">
            <v>257778</v>
          </cell>
          <cell r="G40">
            <v>249078.59</v>
          </cell>
        </row>
        <row r="41">
          <cell r="A41">
            <v>38</v>
          </cell>
          <cell r="B41">
            <v>256976</v>
          </cell>
          <cell r="C41">
            <v>258297</v>
          </cell>
          <cell r="D41">
            <v>259212</v>
          </cell>
          <cell r="E41">
            <v>260534</v>
          </cell>
          <cell r="F41">
            <v>261450</v>
          </cell>
          <cell r="G41">
            <v>254168.8</v>
          </cell>
        </row>
        <row r="42">
          <cell r="A42">
            <v>39</v>
          </cell>
          <cell r="B42">
            <v>261564</v>
          </cell>
          <cell r="C42">
            <v>262582</v>
          </cell>
          <cell r="D42">
            <v>263287</v>
          </cell>
          <cell r="E42">
            <v>264304</v>
          </cell>
          <cell r="F42">
            <v>265009</v>
          </cell>
          <cell r="G42">
            <v>259403.21</v>
          </cell>
        </row>
        <row r="43">
          <cell r="A43">
            <v>40</v>
          </cell>
          <cell r="B43">
            <v>266252</v>
          </cell>
          <cell r="C43">
            <v>266948</v>
          </cell>
          <cell r="D43">
            <v>267430</v>
          </cell>
          <cell r="E43">
            <v>268126</v>
          </cell>
          <cell r="F43">
            <v>268608</v>
          </cell>
          <cell r="G43">
            <v>264773.06</v>
          </cell>
        </row>
        <row r="44">
          <cell r="A44">
            <v>41</v>
          </cell>
          <cell r="B44">
            <v>271043</v>
          </cell>
          <cell r="C44">
            <v>271399</v>
          </cell>
          <cell r="D44">
            <v>271647</v>
          </cell>
          <cell r="E44">
            <v>272004</v>
          </cell>
          <cell r="F44">
            <v>272251</v>
          </cell>
          <cell r="G44">
            <v>270283.09000000003</v>
          </cell>
        </row>
        <row r="45">
          <cell r="A45">
            <v>42</v>
          </cell>
          <cell r="B45">
            <v>275937</v>
          </cell>
          <cell r="C45">
            <v>275937</v>
          </cell>
          <cell r="D45">
            <v>275937</v>
          </cell>
          <cell r="E45">
            <v>275937</v>
          </cell>
          <cell r="F45">
            <v>275937</v>
          </cell>
          <cell r="G45">
            <v>275936.7</v>
          </cell>
        </row>
        <row r="46">
          <cell r="A46">
            <v>43</v>
          </cell>
          <cell r="B46">
            <v>282063</v>
          </cell>
          <cell r="C46">
            <v>282063</v>
          </cell>
          <cell r="D46">
            <v>282063</v>
          </cell>
          <cell r="E46">
            <v>282063</v>
          </cell>
          <cell r="F46">
            <v>282063</v>
          </cell>
          <cell r="G46">
            <v>282062.88</v>
          </cell>
        </row>
        <row r="47">
          <cell r="A47">
            <v>44</v>
          </cell>
          <cell r="B47">
            <v>288356</v>
          </cell>
          <cell r="C47">
            <v>288356</v>
          </cell>
          <cell r="D47">
            <v>288356</v>
          </cell>
          <cell r="E47">
            <v>288356</v>
          </cell>
          <cell r="F47">
            <v>288356</v>
          </cell>
          <cell r="G47">
            <v>288356.47999999998</v>
          </cell>
        </row>
        <row r="48">
          <cell r="A48">
            <v>45</v>
          </cell>
          <cell r="B48">
            <v>294824</v>
          </cell>
          <cell r="C48">
            <v>294824</v>
          </cell>
          <cell r="D48">
            <v>294824</v>
          </cell>
          <cell r="E48">
            <v>294824</v>
          </cell>
          <cell r="F48">
            <v>294824</v>
          </cell>
          <cell r="G48">
            <v>294824.2</v>
          </cell>
        </row>
        <row r="49">
          <cell r="A49">
            <v>46</v>
          </cell>
          <cell r="B49">
            <v>301470</v>
          </cell>
          <cell r="C49">
            <v>301470</v>
          </cell>
          <cell r="D49">
            <v>301470</v>
          </cell>
          <cell r="E49">
            <v>301470</v>
          </cell>
          <cell r="F49">
            <v>301470</v>
          </cell>
          <cell r="G49">
            <v>301470.05</v>
          </cell>
        </row>
        <row r="50">
          <cell r="A50">
            <v>47</v>
          </cell>
          <cell r="B50">
            <v>315314</v>
          </cell>
          <cell r="C50">
            <v>315314</v>
          </cell>
          <cell r="D50">
            <v>315314</v>
          </cell>
          <cell r="E50">
            <v>315314</v>
          </cell>
          <cell r="F50">
            <v>315314</v>
          </cell>
          <cell r="G50">
            <v>315313.56</v>
          </cell>
        </row>
        <row r="51">
          <cell r="A51">
            <v>48</v>
          </cell>
          <cell r="B51">
            <v>336492</v>
          </cell>
          <cell r="C51">
            <v>336492</v>
          </cell>
          <cell r="D51">
            <v>336492</v>
          </cell>
          <cell r="E51">
            <v>336492</v>
          </cell>
          <cell r="F51">
            <v>336492</v>
          </cell>
          <cell r="G51">
            <v>336491.35</v>
          </cell>
        </row>
        <row r="52">
          <cell r="A52">
            <v>49</v>
          </cell>
          <cell r="B52">
            <v>359957</v>
          </cell>
          <cell r="C52">
            <v>359957</v>
          </cell>
          <cell r="D52">
            <v>359957</v>
          </cell>
          <cell r="E52">
            <v>359957</v>
          </cell>
          <cell r="F52">
            <v>359957</v>
          </cell>
          <cell r="G52">
            <v>359956.74</v>
          </cell>
        </row>
        <row r="53">
          <cell r="A53">
            <v>50</v>
          </cell>
          <cell r="B53">
            <v>397581</v>
          </cell>
          <cell r="C53">
            <v>397581</v>
          </cell>
          <cell r="D53">
            <v>397581</v>
          </cell>
          <cell r="E53">
            <v>397581</v>
          </cell>
          <cell r="F53">
            <v>397581</v>
          </cell>
          <cell r="G53">
            <v>397581.73</v>
          </cell>
        </row>
        <row r="54">
          <cell r="A54">
            <v>51</v>
          </cell>
          <cell r="B54">
            <v>444240</v>
          </cell>
          <cell r="C54">
            <v>444240</v>
          </cell>
          <cell r="D54">
            <v>444240</v>
          </cell>
          <cell r="E54">
            <v>444240</v>
          </cell>
          <cell r="F54">
            <v>444240</v>
          </cell>
          <cell r="G54">
            <v>444240.63</v>
          </cell>
        </row>
        <row r="55">
          <cell r="A55">
            <v>52</v>
          </cell>
          <cell r="B55">
            <v>484035</v>
          </cell>
          <cell r="C55">
            <v>484035</v>
          </cell>
          <cell r="D55">
            <v>484035</v>
          </cell>
          <cell r="E55">
            <v>484035</v>
          </cell>
          <cell r="F55">
            <v>484035</v>
          </cell>
          <cell r="G55">
            <v>484035.37</v>
          </cell>
        </row>
        <row r="56">
          <cell r="A56">
            <v>53</v>
          </cell>
          <cell r="B56">
            <v>538581</v>
          </cell>
          <cell r="C56">
            <v>538581</v>
          </cell>
          <cell r="D56">
            <v>538581</v>
          </cell>
          <cell r="E56">
            <v>538581</v>
          </cell>
          <cell r="F56">
            <v>538581</v>
          </cell>
          <cell r="G56">
            <v>538581.69999999995</v>
          </cell>
        </row>
        <row r="57">
          <cell r="A57">
            <v>54</v>
          </cell>
          <cell r="B57">
            <v>604096</v>
          </cell>
          <cell r="C57">
            <v>604096</v>
          </cell>
          <cell r="D57">
            <v>604096</v>
          </cell>
          <cell r="E57">
            <v>604096</v>
          </cell>
          <cell r="F57">
            <v>604096</v>
          </cell>
          <cell r="G57">
            <v>604095.94999999995</v>
          </cell>
        </row>
        <row r="58">
          <cell r="A58">
            <v>55</v>
          </cell>
          <cell r="B58">
            <v>679129</v>
          </cell>
          <cell r="C58">
            <v>679129</v>
          </cell>
          <cell r="D58">
            <v>679129</v>
          </cell>
          <cell r="E58">
            <v>679129</v>
          </cell>
          <cell r="F58">
            <v>679129</v>
          </cell>
          <cell r="G58">
            <v>679128.96</v>
          </cell>
        </row>
        <row r="59">
          <cell r="A59" t="str">
            <v>Læ1</v>
          </cell>
          <cell r="B59">
            <v>213400</v>
          </cell>
          <cell r="C59">
            <v>213400</v>
          </cell>
          <cell r="D59">
            <v>213400</v>
          </cell>
          <cell r="E59">
            <v>213400</v>
          </cell>
          <cell r="F59">
            <v>213400</v>
          </cell>
          <cell r="G59">
            <v>213400</v>
          </cell>
        </row>
        <row r="60">
          <cell r="A60" t="str">
            <v>Læ2</v>
          </cell>
          <cell r="B60">
            <v>227400</v>
          </cell>
          <cell r="C60">
            <v>227400</v>
          </cell>
          <cell r="D60">
            <v>227400</v>
          </cell>
          <cell r="E60">
            <v>227400</v>
          </cell>
          <cell r="F60">
            <v>227400</v>
          </cell>
          <cell r="G60">
            <v>227400</v>
          </cell>
        </row>
        <row r="61">
          <cell r="A61" t="str">
            <v>Læ3</v>
          </cell>
          <cell r="B61">
            <v>248500</v>
          </cell>
          <cell r="C61">
            <v>248500</v>
          </cell>
          <cell r="D61">
            <v>248500</v>
          </cell>
          <cell r="E61">
            <v>248500</v>
          </cell>
          <cell r="F61">
            <v>248500</v>
          </cell>
          <cell r="G61">
            <v>248500</v>
          </cell>
        </row>
        <row r="62">
          <cell r="A62" t="str">
            <v>Bh1</v>
          </cell>
          <cell r="B62">
            <v>203400</v>
          </cell>
          <cell r="C62">
            <v>203400</v>
          </cell>
          <cell r="D62">
            <v>203400</v>
          </cell>
          <cell r="E62">
            <v>203400</v>
          </cell>
          <cell r="F62">
            <v>203400</v>
          </cell>
          <cell r="G62">
            <v>203400</v>
          </cell>
        </row>
        <row r="63">
          <cell r="A63" t="str">
            <v>Bh2</v>
          </cell>
          <cell r="B63">
            <v>213400</v>
          </cell>
          <cell r="C63">
            <v>213400</v>
          </cell>
          <cell r="D63">
            <v>213400</v>
          </cell>
          <cell r="E63">
            <v>213400</v>
          </cell>
          <cell r="F63">
            <v>213400</v>
          </cell>
          <cell r="G63">
            <v>213400</v>
          </cell>
        </row>
        <row r="64">
          <cell r="A64" t="str">
            <v>Bh3</v>
          </cell>
          <cell r="B64">
            <v>221500</v>
          </cell>
          <cell r="C64">
            <v>221500</v>
          </cell>
          <cell r="D64">
            <v>221500</v>
          </cell>
          <cell r="E64">
            <v>221500</v>
          </cell>
          <cell r="F64">
            <v>221500</v>
          </cell>
          <cell r="G64">
            <v>221500</v>
          </cell>
        </row>
        <row r="69">
          <cell r="A69" t="str">
            <v>Læ1</v>
          </cell>
          <cell r="B69">
            <v>0</v>
          </cell>
          <cell r="C69">
            <v>3900</v>
          </cell>
          <cell r="D69">
            <v>6900</v>
          </cell>
          <cell r="E69">
            <v>10800</v>
          </cell>
          <cell r="F69">
            <v>13800</v>
          </cell>
        </row>
        <row r="70">
          <cell r="A70" t="str">
            <v>Læ2</v>
          </cell>
          <cell r="B70">
            <v>0</v>
          </cell>
          <cell r="C70">
            <v>3300</v>
          </cell>
          <cell r="D70">
            <v>5700</v>
          </cell>
          <cell r="E70">
            <v>9000</v>
          </cell>
          <cell r="F70">
            <v>11400</v>
          </cell>
        </row>
        <row r="71">
          <cell r="A71" t="str">
            <v>Læ3</v>
          </cell>
          <cell r="B71">
            <v>0</v>
          </cell>
          <cell r="C71">
            <v>2100</v>
          </cell>
          <cell r="D71">
            <v>3900</v>
          </cell>
          <cell r="E71">
            <v>6000</v>
          </cell>
          <cell r="F71">
            <v>7500</v>
          </cell>
        </row>
        <row r="72">
          <cell r="A72" t="str">
            <v>Bh1</v>
          </cell>
          <cell r="B72">
            <v>0</v>
          </cell>
          <cell r="C72">
            <v>4500</v>
          </cell>
          <cell r="D72">
            <v>7500</v>
          </cell>
          <cell r="E72">
            <v>12000</v>
          </cell>
          <cell r="F72">
            <v>15000</v>
          </cell>
        </row>
        <row r="73">
          <cell r="A73" t="str">
            <v>Bh2</v>
          </cell>
          <cell r="B73">
            <v>0</v>
          </cell>
          <cell r="C73">
            <v>3900</v>
          </cell>
          <cell r="D73">
            <v>6900</v>
          </cell>
          <cell r="E73">
            <v>10800</v>
          </cell>
          <cell r="F73">
            <v>13800</v>
          </cell>
        </row>
        <row r="74">
          <cell r="A74" t="str">
            <v>Bh3</v>
          </cell>
          <cell r="B74">
            <v>0</v>
          </cell>
          <cell r="C74">
            <v>3600</v>
          </cell>
          <cell r="D74">
            <v>6300</v>
          </cell>
          <cell r="E74">
            <v>9900</v>
          </cell>
          <cell r="F74">
            <v>12600</v>
          </cell>
        </row>
      </sheetData>
      <sheetData sheetId="2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Laerer-bhkll (Lockout)"/>
      <sheetName val="Vejledning"/>
      <sheetName val="Lockoutvejledning"/>
      <sheetName val="Nylønstillæg"/>
      <sheetName val="Grundlon"/>
      <sheetName val="Grundlon12"/>
      <sheetName val="Trin4tillaeg"/>
    </sheetNames>
    <sheetDataSet>
      <sheetData sheetId="0"/>
      <sheetData sheetId="1"/>
      <sheetData sheetId="2"/>
      <sheetData sheetId="3"/>
      <sheetData sheetId="4"/>
      <sheetData sheetId="5">
        <row r="4">
          <cell r="A4">
            <v>1</v>
          </cell>
          <cell r="B4">
            <v>184817</v>
          </cell>
          <cell r="C4">
            <v>188265</v>
          </cell>
          <cell r="D4">
            <v>190650</v>
          </cell>
          <cell r="E4">
            <v>194098</v>
          </cell>
          <cell r="F4">
            <v>196484</v>
          </cell>
          <cell r="G4">
            <v>171917.38</v>
          </cell>
        </row>
        <row r="5">
          <cell r="A5">
            <v>2</v>
          </cell>
          <cell r="B5">
            <v>187655</v>
          </cell>
          <cell r="C5">
            <v>191187</v>
          </cell>
          <cell r="D5">
            <v>193632</v>
          </cell>
          <cell r="E5">
            <v>197161</v>
          </cell>
          <cell r="F5">
            <v>199607</v>
          </cell>
          <cell r="G5">
            <v>174577.34</v>
          </cell>
        </row>
        <row r="6">
          <cell r="A6">
            <v>3</v>
          </cell>
          <cell r="B6">
            <v>190571</v>
          </cell>
          <cell r="C6">
            <v>194187</v>
          </cell>
          <cell r="D6">
            <v>196692</v>
          </cell>
          <cell r="E6">
            <v>200308</v>
          </cell>
          <cell r="F6">
            <v>202814</v>
          </cell>
          <cell r="G6">
            <v>177309.48</v>
          </cell>
        </row>
        <row r="7">
          <cell r="A7">
            <v>4</v>
          </cell>
          <cell r="B7">
            <v>193567</v>
          </cell>
          <cell r="C7">
            <v>197274</v>
          </cell>
          <cell r="D7">
            <v>199840</v>
          </cell>
          <cell r="E7">
            <v>203545</v>
          </cell>
          <cell r="F7">
            <v>206110</v>
          </cell>
          <cell r="G7">
            <v>180117.41</v>
          </cell>
        </row>
        <row r="8">
          <cell r="A8">
            <v>5</v>
          </cell>
          <cell r="B8">
            <v>196645</v>
          </cell>
          <cell r="C8">
            <v>200442</v>
          </cell>
          <cell r="D8">
            <v>203072</v>
          </cell>
          <cell r="E8">
            <v>206869</v>
          </cell>
          <cell r="F8">
            <v>209497</v>
          </cell>
          <cell r="G8">
            <v>183001.14</v>
          </cell>
        </row>
        <row r="9">
          <cell r="A9">
            <v>6</v>
          </cell>
          <cell r="B9">
            <v>199810</v>
          </cell>
          <cell r="C9">
            <v>203700</v>
          </cell>
          <cell r="D9">
            <v>206395</v>
          </cell>
          <cell r="E9">
            <v>210285</v>
          </cell>
          <cell r="F9">
            <v>212978</v>
          </cell>
          <cell r="G9">
            <v>185966.06</v>
          </cell>
        </row>
        <row r="10">
          <cell r="A10">
            <v>7</v>
          </cell>
          <cell r="B10">
            <v>203058</v>
          </cell>
          <cell r="C10">
            <v>207045</v>
          </cell>
          <cell r="D10">
            <v>209805</v>
          </cell>
          <cell r="E10">
            <v>213792</v>
          </cell>
          <cell r="F10">
            <v>216551</v>
          </cell>
          <cell r="G10">
            <v>189010.4</v>
          </cell>
        </row>
        <row r="11">
          <cell r="A11">
            <v>8</v>
          </cell>
          <cell r="B11">
            <v>206396</v>
          </cell>
          <cell r="C11">
            <v>210482</v>
          </cell>
          <cell r="D11">
            <v>213311</v>
          </cell>
          <cell r="E11">
            <v>217397</v>
          </cell>
          <cell r="F11">
            <v>220226</v>
          </cell>
          <cell r="G11">
            <v>192139.54</v>
          </cell>
        </row>
        <row r="12">
          <cell r="A12">
            <v>9</v>
          </cell>
          <cell r="B12">
            <v>209829</v>
          </cell>
          <cell r="C12">
            <v>214015</v>
          </cell>
          <cell r="D12">
            <v>216916</v>
          </cell>
          <cell r="E12">
            <v>221102</v>
          </cell>
          <cell r="F12">
            <v>224002</v>
          </cell>
          <cell r="G12">
            <v>195355.31</v>
          </cell>
        </row>
        <row r="13">
          <cell r="A13">
            <v>10</v>
          </cell>
          <cell r="B13">
            <v>213353</v>
          </cell>
          <cell r="C13">
            <v>217646</v>
          </cell>
          <cell r="D13">
            <v>220617</v>
          </cell>
          <cell r="E13">
            <v>224909</v>
          </cell>
          <cell r="F13">
            <v>227882</v>
          </cell>
          <cell r="G13">
            <v>198659.5</v>
          </cell>
        </row>
        <row r="14">
          <cell r="A14">
            <v>11</v>
          </cell>
          <cell r="B14">
            <v>216134</v>
          </cell>
          <cell r="C14">
            <v>220533</v>
          </cell>
          <cell r="D14">
            <v>223579</v>
          </cell>
          <cell r="E14">
            <v>227978</v>
          </cell>
          <cell r="F14">
            <v>231023</v>
          </cell>
          <cell r="G14">
            <v>202053.93</v>
          </cell>
        </row>
        <row r="15">
          <cell r="A15">
            <v>12</v>
          </cell>
          <cell r="B15">
            <v>219855</v>
          </cell>
          <cell r="C15">
            <v>224365</v>
          </cell>
          <cell r="D15">
            <v>227489</v>
          </cell>
          <cell r="E15">
            <v>231997</v>
          </cell>
          <cell r="F15">
            <v>235119</v>
          </cell>
          <cell r="G15">
            <v>205542.18</v>
          </cell>
        </row>
        <row r="16">
          <cell r="A16">
            <v>13</v>
          </cell>
          <cell r="B16">
            <v>223681</v>
          </cell>
          <cell r="C16">
            <v>228304</v>
          </cell>
          <cell r="D16">
            <v>231504</v>
          </cell>
          <cell r="E16">
            <v>236129</v>
          </cell>
          <cell r="F16">
            <v>239328</v>
          </cell>
          <cell r="G16">
            <v>209126.09</v>
          </cell>
        </row>
        <row r="17">
          <cell r="A17">
            <v>14</v>
          </cell>
          <cell r="B17">
            <v>227611</v>
          </cell>
          <cell r="C17">
            <v>232351</v>
          </cell>
          <cell r="D17">
            <v>235632</v>
          </cell>
          <cell r="E17">
            <v>240371</v>
          </cell>
          <cell r="F17">
            <v>243652</v>
          </cell>
          <cell r="G17">
            <v>212809.24</v>
          </cell>
        </row>
        <row r="18">
          <cell r="A18">
            <v>15</v>
          </cell>
          <cell r="B18">
            <v>231649</v>
          </cell>
          <cell r="C18">
            <v>236507</v>
          </cell>
          <cell r="D18">
            <v>239870</v>
          </cell>
          <cell r="E18">
            <v>244730</v>
          </cell>
          <cell r="F18">
            <v>248094</v>
          </cell>
          <cell r="G18">
            <v>216591.65</v>
          </cell>
        </row>
        <row r="19">
          <cell r="A19">
            <v>16</v>
          </cell>
          <cell r="B19">
            <v>234743</v>
          </cell>
          <cell r="C19">
            <v>239725</v>
          </cell>
          <cell r="D19">
            <v>243175</v>
          </cell>
          <cell r="E19">
            <v>248156</v>
          </cell>
          <cell r="F19">
            <v>251606</v>
          </cell>
          <cell r="G19">
            <v>220480.52</v>
          </cell>
        </row>
        <row r="20">
          <cell r="A20">
            <v>17</v>
          </cell>
          <cell r="B20">
            <v>239005</v>
          </cell>
          <cell r="C20">
            <v>244114</v>
          </cell>
          <cell r="D20">
            <v>247651</v>
          </cell>
          <cell r="E20">
            <v>252759</v>
          </cell>
          <cell r="F20">
            <v>256294</v>
          </cell>
          <cell r="G20">
            <v>224474.06</v>
          </cell>
        </row>
        <row r="21">
          <cell r="A21">
            <v>18</v>
          </cell>
          <cell r="B21">
            <v>243387</v>
          </cell>
          <cell r="C21">
            <v>248626</v>
          </cell>
          <cell r="D21">
            <v>252252</v>
          </cell>
          <cell r="E21">
            <v>257490</v>
          </cell>
          <cell r="F21">
            <v>261115</v>
          </cell>
          <cell r="G21">
            <v>228579.5</v>
          </cell>
        </row>
        <row r="22">
          <cell r="A22">
            <v>19</v>
          </cell>
          <cell r="B22">
            <v>246657</v>
          </cell>
          <cell r="C22">
            <v>252029</v>
          </cell>
          <cell r="D22">
            <v>255746</v>
          </cell>
          <cell r="E22">
            <v>261119</v>
          </cell>
          <cell r="F22">
            <v>264839</v>
          </cell>
          <cell r="G22">
            <v>232796.81</v>
          </cell>
        </row>
        <row r="23">
          <cell r="A23">
            <v>20</v>
          </cell>
          <cell r="B23">
            <v>250053</v>
          </cell>
          <cell r="C23">
            <v>255560</v>
          </cell>
          <cell r="D23">
            <v>259374</v>
          </cell>
          <cell r="E23">
            <v>264882</v>
          </cell>
          <cell r="F23">
            <v>268694</v>
          </cell>
          <cell r="G23">
            <v>237129.61</v>
          </cell>
        </row>
        <row r="24">
          <cell r="A24">
            <v>21</v>
          </cell>
          <cell r="B24">
            <v>254192</v>
          </cell>
          <cell r="C24">
            <v>259841</v>
          </cell>
          <cell r="D24">
            <v>263752</v>
          </cell>
          <cell r="E24">
            <v>269401</v>
          </cell>
          <cell r="F24">
            <v>273312</v>
          </cell>
          <cell r="G24">
            <v>241583.32</v>
          </cell>
        </row>
        <row r="25">
          <cell r="A25">
            <v>22</v>
          </cell>
          <cell r="B25">
            <v>258027</v>
          </cell>
          <cell r="C25">
            <v>263676</v>
          </cell>
          <cell r="D25">
            <v>267587</v>
          </cell>
          <cell r="E25">
            <v>273236</v>
          </cell>
          <cell r="F25">
            <v>277147</v>
          </cell>
          <cell r="G25">
            <v>246033.33</v>
          </cell>
        </row>
        <row r="26">
          <cell r="A26">
            <v>23</v>
          </cell>
          <cell r="B26">
            <v>262137</v>
          </cell>
          <cell r="C26">
            <v>267629</v>
          </cell>
          <cell r="D26">
            <v>271434</v>
          </cell>
          <cell r="E26">
            <v>276928</v>
          </cell>
          <cell r="F26">
            <v>280730</v>
          </cell>
          <cell r="G26">
            <v>250472.55</v>
          </cell>
        </row>
        <row r="27">
          <cell r="A27">
            <v>24</v>
          </cell>
          <cell r="B27">
            <v>266372</v>
          </cell>
          <cell r="C27">
            <v>271710</v>
          </cell>
          <cell r="D27">
            <v>275406</v>
          </cell>
          <cell r="E27">
            <v>280745</v>
          </cell>
          <cell r="F27">
            <v>284441</v>
          </cell>
          <cell r="G27">
            <v>255037.97</v>
          </cell>
        </row>
        <row r="28">
          <cell r="A28">
            <v>25</v>
          </cell>
          <cell r="B28">
            <v>270701</v>
          </cell>
          <cell r="C28">
            <v>275873</v>
          </cell>
          <cell r="D28">
            <v>279454</v>
          </cell>
          <cell r="E28">
            <v>284626</v>
          </cell>
          <cell r="F28">
            <v>288206</v>
          </cell>
          <cell r="G28">
            <v>259721.7</v>
          </cell>
        </row>
        <row r="29">
          <cell r="A29">
            <v>26</v>
          </cell>
          <cell r="B29">
            <v>275131</v>
          </cell>
          <cell r="C29">
            <v>280123</v>
          </cell>
          <cell r="D29">
            <v>283580</v>
          </cell>
          <cell r="E29">
            <v>288573</v>
          </cell>
          <cell r="F29">
            <v>292029</v>
          </cell>
          <cell r="G29">
            <v>264528.59000000003</v>
          </cell>
        </row>
        <row r="30">
          <cell r="A30">
            <v>27</v>
          </cell>
          <cell r="B30">
            <v>279656</v>
          </cell>
          <cell r="C30">
            <v>284456</v>
          </cell>
          <cell r="D30">
            <v>287782</v>
          </cell>
          <cell r="E30">
            <v>292583</v>
          </cell>
          <cell r="F30">
            <v>295908</v>
          </cell>
          <cell r="G30">
            <v>269459.90000000002</v>
          </cell>
        </row>
        <row r="31">
          <cell r="A31">
            <v>28</v>
          </cell>
          <cell r="B31">
            <v>284283</v>
          </cell>
          <cell r="C31">
            <v>288881</v>
          </cell>
          <cell r="D31">
            <v>292064</v>
          </cell>
          <cell r="E31">
            <v>296661</v>
          </cell>
          <cell r="F31">
            <v>299845</v>
          </cell>
          <cell r="G31">
            <v>274522.23</v>
          </cell>
        </row>
        <row r="32">
          <cell r="A32">
            <v>29</v>
          </cell>
          <cell r="B32">
            <v>289014</v>
          </cell>
          <cell r="C32">
            <v>293394</v>
          </cell>
          <cell r="D32">
            <v>296427</v>
          </cell>
          <cell r="E32">
            <v>300807</v>
          </cell>
          <cell r="F32">
            <v>303839</v>
          </cell>
          <cell r="G32">
            <v>279714.99</v>
          </cell>
        </row>
        <row r="33">
          <cell r="A33">
            <v>30</v>
          </cell>
          <cell r="B33">
            <v>293853</v>
          </cell>
          <cell r="C33">
            <v>298001</v>
          </cell>
          <cell r="D33">
            <v>300872</v>
          </cell>
          <cell r="E33">
            <v>305018</v>
          </cell>
          <cell r="F33">
            <v>307890</v>
          </cell>
          <cell r="G33">
            <v>285044.74</v>
          </cell>
        </row>
        <row r="34">
          <cell r="A34">
            <v>31</v>
          </cell>
          <cell r="B34">
            <v>298795</v>
          </cell>
          <cell r="C34">
            <v>302696</v>
          </cell>
          <cell r="D34">
            <v>305398</v>
          </cell>
          <cell r="E34">
            <v>309299</v>
          </cell>
          <cell r="F34">
            <v>312000</v>
          </cell>
          <cell r="G34">
            <v>290512.64000000001</v>
          </cell>
        </row>
        <row r="35">
          <cell r="A35">
            <v>32</v>
          </cell>
          <cell r="B35">
            <v>303852</v>
          </cell>
          <cell r="C35">
            <v>307490</v>
          </cell>
          <cell r="D35">
            <v>310009</v>
          </cell>
          <cell r="E35">
            <v>313649</v>
          </cell>
          <cell r="F35">
            <v>316167</v>
          </cell>
          <cell r="G35">
            <v>296125.21000000002</v>
          </cell>
        </row>
        <row r="36">
          <cell r="A36">
            <v>33</v>
          </cell>
          <cell r="B36">
            <v>309016</v>
          </cell>
          <cell r="C36">
            <v>312375</v>
          </cell>
          <cell r="D36">
            <v>314703</v>
          </cell>
          <cell r="E36">
            <v>318063</v>
          </cell>
          <cell r="F36">
            <v>320390</v>
          </cell>
          <cell r="G36">
            <v>301881.8</v>
          </cell>
        </row>
        <row r="37">
          <cell r="A37">
            <v>34</v>
          </cell>
          <cell r="B37">
            <v>314298</v>
          </cell>
          <cell r="C37">
            <v>317363</v>
          </cell>
          <cell r="D37">
            <v>319485</v>
          </cell>
          <cell r="E37">
            <v>322548</v>
          </cell>
          <cell r="F37">
            <v>324670</v>
          </cell>
          <cell r="G37">
            <v>307790.62</v>
          </cell>
        </row>
        <row r="38">
          <cell r="A38">
            <v>35</v>
          </cell>
          <cell r="B38">
            <v>319697</v>
          </cell>
          <cell r="C38">
            <v>322450</v>
          </cell>
          <cell r="D38">
            <v>324354</v>
          </cell>
          <cell r="E38">
            <v>327107</v>
          </cell>
          <cell r="F38">
            <v>329011</v>
          </cell>
          <cell r="G38">
            <v>313854.56</v>
          </cell>
        </row>
        <row r="39">
          <cell r="A39">
            <v>36</v>
          </cell>
          <cell r="B39">
            <v>325214</v>
          </cell>
          <cell r="C39">
            <v>327634</v>
          </cell>
          <cell r="D39">
            <v>329310</v>
          </cell>
          <cell r="E39">
            <v>331731</v>
          </cell>
          <cell r="F39">
            <v>333406</v>
          </cell>
          <cell r="G39">
            <v>320074.68</v>
          </cell>
        </row>
        <row r="40">
          <cell r="A40">
            <v>37</v>
          </cell>
          <cell r="B40">
            <v>330853</v>
          </cell>
          <cell r="C40">
            <v>332923</v>
          </cell>
          <cell r="D40">
            <v>334355</v>
          </cell>
          <cell r="E40">
            <v>336425</v>
          </cell>
          <cell r="F40">
            <v>337859</v>
          </cell>
          <cell r="G40">
            <v>326457.34000000003</v>
          </cell>
        </row>
        <row r="41">
          <cell r="A41">
            <v>38</v>
          </cell>
          <cell r="B41">
            <v>336808</v>
          </cell>
          <cell r="C41">
            <v>338540</v>
          </cell>
          <cell r="D41">
            <v>339739</v>
          </cell>
          <cell r="E41">
            <v>341471</v>
          </cell>
          <cell r="F41">
            <v>342672</v>
          </cell>
          <cell r="G41">
            <v>333128.88</v>
          </cell>
        </row>
        <row r="42">
          <cell r="A42">
            <v>39</v>
          </cell>
          <cell r="B42">
            <v>342821</v>
          </cell>
          <cell r="C42">
            <v>344156</v>
          </cell>
          <cell r="D42">
            <v>345080</v>
          </cell>
          <cell r="E42">
            <v>346413</v>
          </cell>
          <cell r="F42">
            <v>347337</v>
          </cell>
          <cell r="G42">
            <v>339989.41</v>
          </cell>
        </row>
        <row r="43">
          <cell r="A43">
            <v>40</v>
          </cell>
          <cell r="B43">
            <v>348966</v>
          </cell>
          <cell r="C43">
            <v>349878</v>
          </cell>
          <cell r="D43">
            <v>350510</v>
          </cell>
          <cell r="E43">
            <v>351422</v>
          </cell>
          <cell r="F43">
            <v>352054</v>
          </cell>
          <cell r="G43">
            <v>347027.46</v>
          </cell>
        </row>
        <row r="44">
          <cell r="A44">
            <v>41</v>
          </cell>
          <cell r="B44">
            <v>355245</v>
          </cell>
          <cell r="C44">
            <v>355712</v>
          </cell>
          <cell r="D44">
            <v>356037</v>
          </cell>
          <cell r="E44">
            <v>356505</v>
          </cell>
          <cell r="F44">
            <v>356828</v>
          </cell>
          <cell r="G44">
            <v>354249.23</v>
          </cell>
        </row>
        <row r="45">
          <cell r="A45">
            <v>42</v>
          </cell>
          <cell r="B45">
            <v>361660</v>
          </cell>
          <cell r="C45">
            <v>361660</v>
          </cell>
          <cell r="D45">
            <v>361660</v>
          </cell>
          <cell r="E45">
            <v>361660</v>
          </cell>
          <cell r="F45">
            <v>361660</v>
          </cell>
          <cell r="G45">
            <v>361659.2</v>
          </cell>
        </row>
        <row r="46">
          <cell r="A46">
            <v>43</v>
          </cell>
          <cell r="B46">
            <v>369689</v>
          </cell>
          <cell r="C46">
            <v>369689</v>
          </cell>
          <cell r="D46">
            <v>369689</v>
          </cell>
          <cell r="E46">
            <v>369689</v>
          </cell>
          <cell r="F46">
            <v>369689</v>
          </cell>
          <cell r="G46">
            <v>369688.53</v>
          </cell>
        </row>
        <row r="47">
          <cell r="A47">
            <v>44</v>
          </cell>
          <cell r="B47">
            <v>377937</v>
          </cell>
          <cell r="C47">
            <v>377937</v>
          </cell>
          <cell r="D47">
            <v>377937</v>
          </cell>
          <cell r="E47">
            <v>377937</v>
          </cell>
          <cell r="F47">
            <v>377937</v>
          </cell>
          <cell r="G47">
            <v>377937.3</v>
          </cell>
        </row>
        <row r="48">
          <cell r="A48">
            <v>45</v>
          </cell>
          <cell r="B48">
            <v>386414</v>
          </cell>
          <cell r="C48">
            <v>386414</v>
          </cell>
          <cell r="D48">
            <v>386414</v>
          </cell>
          <cell r="E48">
            <v>386414</v>
          </cell>
          <cell r="F48">
            <v>386414</v>
          </cell>
          <cell r="G48">
            <v>386414.29</v>
          </cell>
        </row>
        <row r="49">
          <cell r="A49">
            <v>46</v>
          </cell>
          <cell r="B49">
            <v>395125</v>
          </cell>
          <cell r="C49">
            <v>395125</v>
          </cell>
          <cell r="D49">
            <v>395125</v>
          </cell>
          <cell r="E49">
            <v>395125</v>
          </cell>
          <cell r="F49">
            <v>395125</v>
          </cell>
          <cell r="G49">
            <v>395124.74</v>
          </cell>
        </row>
        <row r="50">
          <cell r="A50">
            <v>47</v>
          </cell>
          <cell r="B50">
            <v>413269</v>
          </cell>
          <cell r="C50">
            <v>413269</v>
          </cell>
          <cell r="D50">
            <v>413269</v>
          </cell>
          <cell r="E50">
            <v>413269</v>
          </cell>
          <cell r="F50">
            <v>413269</v>
          </cell>
          <cell r="G50">
            <v>413268.87</v>
          </cell>
        </row>
        <row r="51">
          <cell r="A51">
            <v>48</v>
          </cell>
          <cell r="B51">
            <v>441027</v>
          </cell>
          <cell r="C51">
            <v>441027</v>
          </cell>
          <cell r="D51">
            <v>441027</v>
          </cell>
          <cell r="E51">
            <v>441027</v>
          </cell>
          <cell r="F51">
            <v>441027</v>
          </cell>
          <cell r="G51">
            <v>441025.75</v>
          </cell>
        </row>
        <row r="52">
          <cell r="A52">
            <v>49</v>
          </cell>
          <cell r="B52">
            <v>471781</v>
          </cell>
          <cell r="C52">
            <v>471781</v>
          </cell>
          <cell r="D52">
            <v>471781</v>
          </cell>
          <cell r="E52">
            <v>471781</v>
          </cell>
          <cell r="F52">
            <v>471781</v>
          </cell>
          <cell r="G52">
            <v>471780.9</v>
          </cell>
        </row>
        <row r="53">
          <cell r="A53">
            <v>50</v>
          </cell>
          <cell r="B53">
            <v>521094</v>
          </cell>
          <cell r="C53">
            <v>521094</v>
          </cell>
          <cell r="D53">
            <v>521094</v>
          </cell>
          <cell r="E53">
            <v>521094</v>
          </cell>
          <cell r="F53">
            <v>521094</v>
          </cell>
          <cell r="G53">
            <v>521094.47</v>
          </cell>
        </row>
        <row r="54">
          <cell r="A54">
            <v>51</v>
          </cell>
          <cell r="B54">
            <v>592911</v>
          </cell>
          <cell r="C54">
            <v>592911</v>
          </cell>
          <cell r="D54">
            <v>592911</v>
          </cell>
          <cell r="E54">
            <v>592911</v>
          </cell>
          <cell r="F54">
            <v>592911</v>
          </cell>
          <cell r="G54">
            <v>592911.94999999995</v>
          </cell>
        </row>
        <row r="55">
          <cell r="A55">
            <v>52</v>
          </cell>
          <cell r="B55">
            <v>650993</v>
          </cell>
          <cell r="C55">
            <v>650993</v>
          </cell>
          <cell r="D55">
            <v>650993</v>
          </cell>
          <cell r="E55">
            <v>650993</v>
          </cell>
          <cell r="F55">
            <v>650993</v>
          </cell>
          <cell r="G55">
            <v>650993.51</v>
          </cell>
        </row>
        <row r="56">
          <cell r="A56">
            <v>53</v>
          </cell>
          <cell r="B56">
            <v>728408</v>
          </cell>
          <cell r="C56">
            <v>728408</v>
          </cell>
          <cell r="D56">
            <v>728408</v>
          </cell>
          <cell r="E56">
            <v>728408</v>
          </cell>
          <cell r="F56">
            <v>728408</v>
          </cell>
          <cell r="G56">
            <v>728409.39</v>
          </cell>
        </row>
        <row r="57">
          <cell r="A57">
            <v>54</v>
          </cell>
          <cell r="B57">
            <v>821385</v>
          </cell>
          <cell r="C57">
            <v>821385</v>
          </cell>
          <cell r="D57">
            <v>821385</v>
          </cell>
          <cell r="E57">
            <v>821385</v>
          </cell>
          <cell r="F57">
            <v>821385</v>
          </cell>
          <cell r="G57">
            <v>821385.31</v>
          </cell>
        </row>
        <row r="58">
          <cell r="A58">
            <v>55</v>
          </cell>
          <cell r="B58">
            <v>925652</v>
          </cell>
          <cell r="C58">
            <v>925652</v>
          </cell>
          <cell r="D58">
            <v>925652</v>
          </cell>
          <cell r="E58">
            <v>925652</v>
          </cell>
          <cell r="F58">
            <v>925652</v>
          </cell>
          <cell r="G58">
            <v>925652.26</v>
          </cell>
        </row>
        <row r="59">
          <cell r="A59" t="str">
            <v>Læ1</v>
          </cell>
          <cell r="B59">
            <v>279695</v>
          </cell>
          <cell r="C59">
            <v>279695</v>
          </cell>
          <cell r="D59">
            <v>279695</v>
          </cell>
          <cell r="E59">
            <v>279695</v>
          </cell>
          <cell r="F59">
            <v>279695</v>
          </cell>
          <cell r="G59">
            <v>279695</v>
          </cell>
        </row>
        <row r="60">
          <cell r="A60" t="str">
            <v>Læ2</v>
          </cell>
          <cell r="B60">
            <v>298044</v>
          </cell>
          <cell r="C60">
            <v>298044</v>
          </cell>
          <cell r="D60">
            <v>298044</v>
          </cell>
          <cell r="E60">
            <v>298044</v>
          </cell>
          <cell r="F60">
            <v>298044</v>
          </cell>
          <cell r="G60">
            <v>298044</v>
          </cell>
        </row>
        <row r="61">
          <cell r="A61" t="str">
            <v>Læ3</v>
          </cell>
          <cell r="B61">
            <v>325699</v>
          </cell>
          <cell r="C61">
            <v>325699</v>
          </cell>
          <cell r="D61">
            <v>325699</v>
          </cell>
          <cell r="E61">
            <v>325699</v>
          </cell>
          <cell r="F61">
            <v>325699</v>
          </cell>
          <cell r="G61">
            <v>325699</v>
          </cell>
        </row>
        <row r="62">
          <cell r="A62" t="str">
            <v>Bh1</v>
          </cell>
          <cell r="B62">
            <v>266588</v>
          </cell>
          <cell r="C62">
            <v>266588</v>
          </cell>
          <cell r="D62">
            <v>266588</v>
          </cell>
          <cell r="E62">
            <v>266588</v>
          </cell>
          <cell r="F62">
            <v>266588</v>
          </cell>
          <cell r="G62">
            <v>266588</v>
          </cell>
        </row>
        <row r="63">
          <cell r="A63" t="str">
            <v>Bh2</v>
          </cell>
          <cell r="B63">
            <v>279695</v>
          </cell>
          <cell r="C63">
            <v>279695</v>
          </cell>
          <cell r="D63">
            <v>279695</v>
          </cell>
          <cell r="E63">
            <v>279695</v>
          </cell>
          <cell r="F63">
            <v>279695</v>
          </cell>
          <cell r="G63">
            <v>279695</v>
          </cell>
        </row>
        <row r="64">
          <cell r="A64" t="str">
            <v>Bh3</v>
          </cell>
          <cell r="B64">
            <v>290311</v>
          </cell>
          <cell r="C64">
            <v>290311</v>
          </cell>
          <cell r="D64">
            <v>290311</v>
          </cell>
          <cell r="E64">
            <v>290311</v>
          </cell>
          <cell r="F64">
            <v>290311</v>
          </cell>
          <cell r="G64">
            <v>290311</v>
          </cell>
        </row>
        <row r="69">
          <cell r="A69" t="str">
            <v>Læ1</v>
          </cell>
          <cell r="B69">
            <v>0</v>
          </cell>
          <cell r="C69">
            <v>3900</v>
          </cell>
          <cell r="D69">
            <v>6900</v>
          </cell>
          <cell r="E69">
            <v>10800</v>
          </cell>
          <cell r="F69">
            <v>13800</v>
          </cell>
        </row>
        <row r="70">
          <cell r="A70" t="str">
            <v>Læ2</v>
          </cell>
          <cell r="B70">
            <v>0</v>
          </cell>
          <cell r="C70">
            <v>3300</v>
          </cell>
          <cell r="D70">
            <v>5700</v>
          </cell>
          <cell r="E70">
            <v>9000</v>
          </cell>
          <cell r="F70">
            <v>11400</v>
          </cell>
        </row>
        <row r="71">
          <cell r="A71" t="str">
            <v>Læ3</v>
          </cell>
          <cell r="B71">
            <v>0</v>
          </cell>
          <cell r="C71">
            <v>2100</v>
          </cell>
          <cell r="D71">
            <v>3900</v>
          </cell>
          <cell r="E71">
            <v>6000</v>
          </cell>
          <cell r="F71">
            <v>7500</v>
          </cell>
        </row>
        <row r="72">
          <cell r="A72" t="str">
            <v>Bh1</v>
          </cell>
          <cell r="B72">
            <v>0</v>
          </cell>
          <cell r="C72">
            <v>4500</v>
          </cell>
          <cell r="D72">
            <v>7500</v>
          </cell>
          <cell r="E72">
            <v>12000</v>
          </cell>
          <cell r="F72">
            <v>15000</v>
          </cell>
        </row>
        <row r="73">
          <cell r="A73" t="str">
            <v>Bh2</v>
          </cell>
          <cell r="B73">
            <v>0</v>
          </cell>
          <cell r="C73">
            <v>3900</v>
          </cell>
          <cell r="D73">
            <v>6900</v>
          </cell>
          <cell r="E73">
            <v>10800</v>
          </cell>
          <cell r="F73">
            <v>13800</v>
          </cell>
        </row>
        <row r="74">
          <cell r="A74" t="str">
            <v>Bh3</v>
          </cell>
          <cell r="B74">
            <v>0</v>
          </cell>
          <cell r="C74">
            <v>3600</v>
          </cell>
          <cell r="D74">
            <v>6300</v>
          </cell>
          <cell r="E74">
            <v>9900</v>
          </cell>
          <cell r="F74">
            <v>12600</v>
          </cell>
        </row>
      </sheetData>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natpenge"/>
      <sheetName val="Byt"/>
    </sheetNames>
    <definedNames>
      <definedName name="bytom"/>
    </definedNames>
    <sheetDataSet>
      <sheetData sheetId="0" refreshError="1"/>
      <sheetData sheetId="1" refreshError="1"/>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ole@friskoler.dk"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vmlDrawing" Target="../drawings/vmlDrawing5.vml"/><Relationship Id="rId3"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6.vml"/><Relationship Id="rId3"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vmlDrawing" Target="../drawings/vmlDrawing7.vml"/><Relationship Id="rId3"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 Id="rId2" Type="http://schemas.openxmlformats.org/officeDocument/2006/relationships/vmlDrawing" Target="../drawings/vmlDrawing8.vml"/><Relationship Id="rId3"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 Id="rId2" Type="http://schemas.openxmlformats.org/officeDocument/2006/relationships/vmlDrawing" Target="../drawings/vmlDrawing9.vml"/><Relationship Id="rId3"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10.vml"/><Relationship Id="rId3"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 Id="rId2" Type="http://schemas.openxmlformats.org/officeDocument/2006/relationships/vmlDrawing" Target="../drawings/vmlDrawing11.vml"/><Relationship Id="rId3"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 Id="rId2" Type="http://schemas.openxmlformats.org/officeDocument/2006/relationships/vmlDrawing" Target="../drawings/vmlDrawing12.vml"/><Relationship Id="rId3"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 Id="rId2" Type="http://schemas.openxmlformats.org/officeDocument/2006/relationships/vmlDrawing" Target="../drawings/vmlDrawing13.vml"/><Relationship Id="rId3" Type="http://schemas.openxmlformats.org/officeDocument/2006/relationships/comments" Target="../comments1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 Id="rId2" Type="http://schemas.openxmlformats.org/officeDocument/2006/relationships/vmlDrawing" Target="../drawings/vmlDrawing14.vml"/><Relationship Id="rId3"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15.vml"/><Relationship Id="rId3"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 Id="rId2" Type="http://schemas.openxmlformats.org/officeDocument/2006/relationships/vmlDrawing" Target="../drawings/vmlDrawing16.vml"/><Relationship Id="rId3"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3.vml"/><Relationship Id="rId3"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50"/>
  <sheetViews>
    <sheetView workbookViewId="0">
      <selection activeCell="B38" sqref="B38"/>
    </sheetView>
  </sheetViews>
  <sheetFormatPr baseColWidth="10" defaultRowHeight="13" x14ac:dyDescent="0"/>
  <cols>
    <col min="1" max="1" width="5.7109375" customWidth="1"/>
    <col min="2" max="2" width="66.5703125" customWidth="1"/>
  </cols>
  <sheetData>
    <row r="1" spans="1:2" ht="15">
      <c r="A1" s="428" t="s">
        <v>397</v>
      </c>
      <c r="B1" s="95"/>
    </row>
    <row r="2" spans="1:2" ht="67" customHeight="1">
      <c r="A2" s="96" t="s">
        <v>169</v>
      </c>
      <c r="B2" s="97" t="s">
        <v>551</v>
      </c>
    </row>
    <row r="3" spans="1:2" ht="8" customHeight="1">
      <c r="A3" s="96"/>
      <c r="B3" s="97"/>
    </row>
    <row r="4" spans="1:2" ht="48">
      <c r="A4" s="96" t="s">
        <v>169</v>
      </c>
      <c r="B4" s="97" t="s">
        <v>528</v>
      </c>
    </row>
    <row r="5" spans="1:2" ht="8" customHeight="1">
      <c r="A5" s="96"/>
      <c r="B5" s="97"/>
    </row>
    <row r="6" spans="1:2" ht="54" customHeight="1">
      <c r="A6" s="96" t="s">
        <v>169</v>
      </c>
      <c r="B6" s="97" t="s">
        <v>344</v>
      </c>
    </row>
    <row r="7" spans="1:2" ht="8" customHeight="1">
      <c r="A7" s="98"/>
      <c r="B7" s="99"/>
    </row>
    <row r="8" spans="1:2" ht="93" customHeight="1">
      <c r="A8" s="96" t="s">
        <v>169</v>
      </c>
      <c r="B8" s="97" t="s">
        <v>529</v>
      </c>
    </row>
    <row r="9" spans="1:2" ht="8" customHeight="1">
      <c r="A9" s="98"/>
      <c r="B9" s="99"/>
    </row>
    <row r="10" spans="1:2" ht="18" customHeight="1">
      <c r="A10" s="96" t="s">
        <v>169</v>
      </c>
      <c r="B10" s="97" t="s">
        <v>81</v>
      </c>
    </row>
    <row r="11" spans="1:2" ht="8" customHeight="1">
      <c r="A11" s="98"/>
      <c r="B11" s="99"/>
    </row>
    <row r="12" spans="1:2" ht="18" customHeight="1">
      <c r="A12" s="96" t="s">
        <v>169</v>
      </c>
      <c r="B12" s="97" t="s">
        <v>133</v>
      </c>
    </row>
    <row r="13" spans="1:2" ht="8" customHeight="1">
      <c r="A13" s="98"/>
      <c r="B13" s="99"/>
    </row>
    <row r="14" spans="1:2" ht="29" customHeight="1">
      <c r="A14" s="96" t="s">
        <v>169</v>
      </c>
      <c r="B14" s="97" t="s">
        <v>552</v>
      </c>
    </row>
    <row r="15" spans="1:2" ht="8" customHeight="1">
      <c r="A15" s="98"/>
      <c r="B15" s="99"/>
    </row>
    <row r="16" spans="1:2" ht="17" customHeight="1">
      <c r="A16" s="96" t="s">
        <v>169</v>
      </c>
      <c r="B16" s="97" t="s">
        <v>316</v>
      </c>
    </row>
    <row r="17" spans="1:2" ht="8" customHeight="1">
      <c r="A17" s="98"/>
      <c r="B17" s="99"/>
    </row>
    <row r="18" spans="1:2" ht="20" customHeight="1">
      <c r="A18" s="96" t="s">
        <v>169</v>
      </c>
      <c r="B18" s="97" t="s">
        <v>304</v>
      </c>
    </row>
    <row r="19" spans="1:2" ht="8" customHeight="1">
      <c r="A19" s="98"/>
      <c r="B19" s="99"/>
    </row>
    <row r="20" spans="1:2" ht="55" customHeight="1">
      <c r="A20" s="96" t="s">
        <v>169</v>
      </c>
      <c r="B20" s="97" t="s">
        <v>553</v>
      </c>
    </row>
    <row r="21" spans="1:2" ht="8" customHeight="1">
      <c r="A21" s="98"/>
      <c r="B21" s="99"/>
    </row>
    <row r="22" spans="1:2" ht="31" customHeight="1">
      <c r="A22" s="96" t="s">
        <v>169</v>
      </c>
      <c r="B22" s="97" t="s">
        <v>398</v>
      </c>
    </row>
    <row r="23" spans="1:2" ht="8" customHeight="1">
      <c r="A23" s="98"/>
      <c r="B23" s="99"/>
    </row>
    <row r="24" spans="1:2" ht="116" customHeight="1">
      <c r="A24" s="96" t="s">
        <v>169</v>
      </c>
      <c r="B24" s="97" t="s">
        <v>530</v>
      </c>
    </row>
    <row r="25" spans="1:2" ht="8" customHeight="1">
      <c r="A25" s="98"/>
      <c r="B25" s="99"/>
    </row>
    <row r="26" spans="1:2" ht="28" customHeight="1">
      <c r="A26" s="96" t="s">
        <v>169</v>
      </c>
      <c r="B26" s="97" t="s">
        <v>400</v>
      </c>
    </row>
    <row r="27" spans="1:2" ht="8" customHeight="1">
      <c r="A27" s="98"/>
      <c r="B27" s="99"/>
    </row>
    <row r="28" spans="1:2" ht="22" customHeight="1">
      <c r="A28" s="96" t="s">
        <v>169</v>
      </c>
      <c r="B28" s="97" t="s">
        <v>399</v>
      </c>
    </row>
    <row r="29" spans="1:2" ht="8" customHeight="1">
      <c r="A29" s="98"/>
      <c r="B29" s="99"/>
    </row>
    <row r="30" spans="1:2" ht="55" customHeight="1">
      <c r="A30" s="96" t="s">
        <v>169</v>
      </c>
      <c r="B30" s="97" t="s">
        <v>19</v>
      </c>
    </row>
    <row r="31" spans="1:2" ht="8" customHeight="1">
      <c r="A31" s="98"/>
      <c r="B31" s="100"/>
    </row>
    <row r="32" spans="1:2" ht="55" customHeight="1">
      <c r="A32" s="96" t="s">
        <v>169</v>
      </c>
      <c r="B32" s="97" t="s">
        <v>113</v>
      </c>
    </row>
    <row r="33" spans="1:2" ht="8" customHeight="1">
      <c r="A33" s="98"/>
      <c r="B33" s="100"/>
    </row>
    <row r="34" spans="1:2" ht="67" customHeight="1">
      <c r="A34" s="96" t="s">
        <v>169</v>
      </c>
      <c r="B34" s="97" t="s">
        <v>531</v>
      </c>
    </row>
    <row r="35" spans="1:2" ht="8" customHeight="1">
      <c r="A35" s="98"/>
      <c r="B35" s="100"/>
    </row>
    <row r="36" spans="1:2" ht="67" customHeight="1">
      <c r="A36" s="96" t="s">
        <v>169</v>
      </c>
      <c r="B36" s="97" t="s">
        <v>554</v>
      </c>
    </row>
    <row r="37" spans="1:2" ht="8" customHeight="1">
      <c r="A37" s="98"/>
      <c r="B37" s="100"/>
    </row>
    <row r="38" spans="1:2" ht="81" customHeight="1">
      <c r="A38" s="96" t="s">
        <v>169</v>
      </c>
      <c r="B38" s="97" t="s">
        <v>555</v>
      </c>
    </row>
    <row r="39" spans="1:2" ht="8" customHeight="1">
      <c r="A39" s="98"/>
      <c r="B39" s="100"/>
    </row>
    <row r="40" spans="1:2">
      <c r="A40" s="96"/>
      <c r="B40" s="101" t="s">
        <v>532</v>
      </c>
    </row>
    <row r="41" spans="1:2">
      <c r="A41" s="96"/>
      <c r="B41" s="102" t="s">
        <v>117</v>
      </c>
    </row>
    <row r="42" spans="1:2">
      <c r="A42" s="69"/>
      <c r="B42" s="68"/>
    </row>
    <row r="43" spans="1:2">
      <c r="A43" s="69" t="s">
        <v>277</v>
      </c>
      <c r="B43" s="267">
        <v>40290</v>
      </c>
    </row>
    <row r="44" spans="1:2">
      <c r="A44" s="69"/>
      <c r="B44" s="68"/>
    </row>
    <row r="45" spans="1:2">
      <c r="A45" s="69"/>
      <c r="B45" s="266" t="s">
        <v>272</v>
      </c>
    </row>
    <row r="46" spans="1:2">
      <c r="B46" s="68" t="s">
        <v>533</v>
      </c>
    </row>
    <row r="47" spans="1:2">
      <c r="B47" s="68"/>
    </row>
    <row r="48" spans="1:2">
      <c r="B48" s="68"/>
    </row>
    <row r="49" spans="2:2">
      <c r="B49" s="68"/>
    </row>
    <row r="50" spans="2:2">
      <c r="B50" s="68"/>
    </row>
  </sheetData>
  <phoneticPr fontId="19" type="noConversion"/>
  <hyperlinks>
    <hyperlink ref="B41" r:id="rId1"/>
  </hyperlinks>
  <printOptions horizontalCentered="1" verticalCentered="1"/>
  <pageMargins left="0.74803149606299213" right="0.35433070866141736" top="0.39370078740157483" bottom="0.39370078740157483" header="0.51181102362204722" footer="0.51181102362204722"/>
  <pageSetup paperSize="10"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285</v>
      </c>
      <c r="H1" s="79" t="str">
        <f>G1</f>
        <v>D</v>
      </c>
      <c r="I1" s="79" t="str">
        <f t="shared" ref="I1:R1" si="0">H1</f>
        <v>D</v>
      </c>
      <c r="J1" s="79" t="str">
        <f t="shared" si="0"/>
        <v>D</v>
      </c>
      <c r="K1" s="79" t="str">
        <f t="shared" si="0"/>
        <v>D</v>
      </c>
      <c r="L1" s="79" t="str">
        <f t="shared" si="0"/>
        <v>D</v>
      </c>
      <c r="M1" s="79" t="str">
        <f t="shared" si="0"/>
        <v>D</v>
      </c>
      <c r="N1" s="79" t="str">
        <f t="shared" si="0"/>
        <v>D</v>
      </c>
      <c r="O1" s="79" t="str">
        <f t="shared" si="0"/>
        <v>D</v>
      </c>
      <c r="P1" s="79" t="str">
        <f t="shared" si="0"/>
        <v>D</v>
      </c>
      <c r="Q1" s="79" t="str">
        <f t="shared" si="0"/>
        <v>D</v>
      </c>
      <c r="R1" s="79" t="str">
        <f t="shared" si="0"/>
        <v>D</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decimal" allowBlank="1" showInputMessage="1" showErrorMessage="1" sqref="O6">
      <formula1>1.017162</formula1>
      <formula2>1.04</formula2>
    </dataValidation>
    <dataValidation type="decimal" allowBlank="1" showInputMessage="1" showErrorMessage="1" sqref="G8">
      <formula1>0</formula1>
      <formula2>1.136</formula2>
    </dataValidation>
    <dataValidation type="whole" allowBlank="1" showInputMessage="1" showErrorMessage="1" sqref="G9">
      <formula1>0</formula1>
      <formula2>900</formula2>
    </dataValidation>
    <dataValidation type="whole" allowBlank="1" showInputMessage="1" showErrorMessage="1" sqref="G25">
      <formula1>0</formula1>
      <formula2>20</formula2>
    </dataValidation>
    <dataValidation type="decimal" allowBlank="1" showInputMessage="1" showErrorMessage="1" sqref="G22:R22">
      <formula1>0</formula1>
      <formula2>G21</formula2>
    </dataValidation>
    <dataValidation type="whole" allowBlank="1" showInputMessage="1" showErrorMessage="1" sqref="G26">
      <formula1>0</formula1>
      <formula2>60</formula2>
    </dataValidation>
    <dataValidation type="whole" allowBlank="1" showInputMessage="1" showErrorMessage="1" sqref="G27">
      <formula1>0</formula1>
      <formula2>20000</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Grundlon12!$B$108:$B$134</xm:f>
          </x14:formula1>
          <xm:sqref>G5</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Grundlon12!$F$108:$F$111</xm:f>
          </x14:formula1>
          <xm:sqref>G31:N31</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286</v>
      </c>
      <c r="H1" s="79" t="str">
        <f>G1</f>
        <v>E</v>
      </c>
      <c r="I1" s="79" t="str">
        <f t="shared" ref="I1:R1" si="0">H1</f>
        <v>E</v>
      </c>
      <c r="J1" s="79" t="str">
        <f t="shared" si="0"/>
        <v>E</v>
      </c>
      <c r="K1" s="79" t="str">
        <f t="shared" si="0"/>
        <v>E</v>
      </c>
      <c r="L1" s="79" t="str">
        <f t="shared" si="0"/>
        <v>E</v>
      </c>
      <c r="M1" s="79" t="str">
        <f t="shared" si="0"/>
        <v>E</v>
      </c>
      <c r="N1" s="79" t="str">
        <f t="shared" si="0"/>
        <v>E</v>
      </c>
      <c r="O1" s="79" t="str">
        <f t="shared" si="0"/>
        <v>E</v>
      </c>
      <c r="P1" s="79" t="str">
        <f t="shared" si="0"/>
        <v>E</v>
      </c>
      <c r="Q1" s="79" t="str">
        <f t="shared" si="0"/>
        <v>E</v>
      </c>
      <c r="R1" s="79" t="str">
        <f t="shared" si="0"/>
        <v>E</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whole" allowBlank="1" showInputMessage="1" showErrorMessage="1" sqref="G27">
      <formula1>0</formula1>
      <formula2>20000</formula2>
    </dataValidation>
    <dataValidation type="whole" allowBlank="1" showInputMessage="1" showErrorMessage="1" sqref="G26">
      <formula1>0</formula1>
      <formula2>60</formula2>
    </dataValidation>
    <dataValidation type="decimal" allowBlank="1" showInputMessage="1" showErrorMessage="1" sqref="G22:R22">
      <formula1>0</formula1>
      <formula2>G21</formula2>
    </dataValidation>
    <dataValidation type="whole" allowBlank="1" showInputMessage="1" showErrorMessage="1" sqref="G25">
      <formula1>0</formula1>
      <formula2>20</formula2>
    </dataValidation>
    <dataValidation type="whole" allowBlank="1" showInputMessage="1" showErrorMessage="1" sqref="G9">
      <formula1>0</formula1>
      <formula2>900</formula2>
    </dataValidation>
    <dataValidation type="decimal" allowBlank="1" showInputMessage="1" showErrorMessage="1" sqref="G8">
      <formula1>0</formula1>
      <formula2>1.136</formula2>
    </dataValidation>
    <dataValidation type="decimal" allowBlank="1" showInputMessage="1" showErrorMessage="1" sqref="O6">
      <formula1>1.017162</formula1>
      <formula2>1.04</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Grundlon12!$F$108:$F$111</xm:f>
          </x14:formula1>
          <xm:sqref>G31:N31</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Grundlon12!$B$108:$B$134</xm:f>
          </x14:formula1>
          <xm:sqref>G5</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287</v>
      </c>
      <c r="H1" s="79" t="str">
        <f>G1</f>
        <v>F</v>
      </c>
      <c r="I1" s="79" t="str">
        <f t="shared" ref="I1:R1" si="0">H1</f>
        <v>F</v>
      </c>
      <c r="J1" s="79" t="str">
        <f t="shared" si="0"/>
        <v>F</v>
      </c>
      <c r="K1" s="79" t="str">
        <f t="shared" si="0"/>
        <v>F</v>
      </c>
      <c r="L1" s="79" t="str">
        <f t="shared" si="0"/>
        <v>F</v>
      </c>
      <c r="M1" s="79" t="str">
        <f t="shared" si="0"/>
        <v>F</v>
      </c>
      <c r="N1" s="79" t="str">
        <f t="shared" si="0"/>
        <v>F</v>
      </c>
      <c r="O1" s="79" t="str">
        <f t="shared" si="0"/>
        <v>F</v>
      </c>
      <c r="P1" s="79" t="str">
        <f t="shared" si="0"/>
        <v>F</v>
      </c>
      <c r="Q1" s="79" t="str">
        <f t="shared" si="0"/>
        <v>F</v>
      </c>
      <c r="R1" s="79" t="str">
        <f t="shared" si="0"/>
        <v>F</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decimal" allowBlank="1" showInputMessage="1" showErrorMessage="1" sqref="O6">
      <formula1>1.017162</formula1>
      <formula2>1.04</formula2>
    </dataValidation>
    <dataValidation type="decimal" allowBlank="1" showInputMessage="1" showErrorMessage="1" sqref="G8">
      <formula1>0</formula1>
      <formula2>1.136</formula2>
    </dataValidation>
    <dataValidation type="whole" allowBlank="1" showInputMessage="1" showErrorMessage="1" sqref="G9">
      <formula1>0</formula1>
      <formula2>900</formula2>
    </dataValidation>
    <dataValidation type="whole" allowBlank="1" showInputMessage="1" showErrorMessage="1" sqref="G25">
      <formula1>0</formula1>
      <formula2>20</formula2>
    </dataValidation>
    <dataValidation type="decimal" allowBlank="1" showInputMessage="1" showErrorMessage="1" sqref="G22:R22">
      <formula1>0</formula1>
      <formula2>G21</formula2>
    </dataValidation>
    <dataValidation type="whole" allowBlank="1" showInputMessage="1" showErrorMessage="1" sqref="G26">
      <formula1>0</formula1>
      <formula2>60</formula2>
    </dataValidation>
    <dataValidation type="whole" allowBlank="1" showInputMessage="1" showErrorMessage="1" sqref="G27">
      <formula1>0</formula1>
      <formula2>20000</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Grundlon12!$B$108:$B$134</xm:f>
          </x14:formula1>
          <xm:sqref>G5</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Grundlon12!$F$108:$F$111</xm:f>
          </x14:formula1>
          <xm:sqref>G31:N31</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519</v>
      </c>
      <c r="H1" s="79" t="str">
        <f>G1</f>
        <v>G</v>
      </c>
      <c r="I1" s="79" t="str">
        <f t="shared" ref="I1:R1" si="0">H1</f>
        <v>G</v>
      </c>
      <c r="J1" s="79" t="str">
        <f t="shared" si="0"/>
        <v>G</v>
      </c>
      <c r="K1" s="79" t="str">
        <f t="shared" si="0"/>
        <v>G</v>
      </c>
      <c r="L1" s="79" t="str">
        <f t="shared" si="0"/>
        <v>G</v>
      </c>
      <c r="M1" s="79" t="str">
        <f t="shared" si="0"/>
        <v>G</v>
      </c>
      <c r="N1" s="79" t="str">
        <f t="shared" si="0"/>
        <v>G</v>
      </c>
      <c r="O1" s="79" t="str">
        <f t="shared" si="0"/>
        <v>G</v>
      </c>
      <c r="P1" s="79" t="str">
        <f t="shared" si="0"/>
        <v>G</v>
      </c>
      <c r="Q1" s="79" t="str">
        <f t="shared" si="0"/>
        <v>G</v>
      </c>
      <c r="R1" s="79" t="str">
        <f t="shared" si="0"/>
        <v>G</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whole" allowBlank="1" showInputMessage="1" showErrorMessage="1" sqref="G27">
      <formula1>0</formula1>
      <formula2>20000</formula2>
    </dataValidation>
    <dataValidation type="whole" allowBlank="1" showInputMessage="1" showErrorMessage="1" sqref="G26">
      <formula1>0</formula1>
      <formula2>60</formula2>
    </dataValidation>
    <dataValidation type="decimal" allowBlank="1" showInputMessage="1" showErrorMessage="1" sqref="G22:R22">
      <formula1>0</formula1>
      <formula2>G21</formula2>
    </dataValidation>
    <dataValidation type="whole" allowBlank="1" showInputMessage="1" showErrorMessage="1" sqref="G25">
      <formula1>0</formula1>
      <formula2>20</formula2>
    </dataValidation>
    <dataValidation type="whole" allowBlank="1" showInputMessage="1" showErrorMessage="1" sqref="G9">
      <formula1>0</formula1>
      <formula2>900</formula2>
    </dataValidation>
    <dataValidation type="decimal" allowBlank="1" showInputMessage="1" showErrorMessage="1" sqref="G8">
      <formula1>0</formula1>
      <formula2>1.136</formula2>
    </dataValidation>
    <dataValidation type="decimal" allowBlank="1" showInputMessage="1" showErrorMessage="1" sqref="O6">
      <formula1>1.017162</formula1>
      <formula2>1.04</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Grundlon12!$F$108:$F$111</xm:f>
          </x14:formula1>
          <xm:sqref>G31:N31</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Grundlon12!$B$108:$B$134</xm:f>
          </x14:formula1>
          <xm:sqref>G5</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520</v>
      </c>
      <c r="H1" s="79" t="str">
        <f>G1</f>
        <v>H</v>
      </c>
      <c r="I1" s="79" t="str">
        <f t="shared" ref="I1:R1" si="0">H1</f>
        <v>H</v>
      </c>
      <c r="J1" s="79" t="str">
        <f t="shared" si="0"/>
        <v>H</v>
      </c>
      <c r="K1" s="79" t="str">
        <f t="shared" si="0"/>
        <v>H</v>
      </c>
      <c r="L1" s="79" t="str">
        <f t="shared" si="0"/>
        <v>H</v>
      </c>
      <c r="M1" s="79" t="str">
        <f t="shared" si="0"/>
        <v>H</v>
      </c>
      <c r="N1" s="79" t="str">
        <f t="shared" si="0"/>
        <v>H</v>
      </c>
      <c r="O1" s="79" t="str">
        <f t="shared" si="0"/>
        <v>H</v>
      </c>
      <c r="P1" s="79" t="str">
        <f t="shared" si="0"/>
        <v>H</v>
      </c>
      <c r="Q1" s="79" t="str">
        <f t="shared" si="0"/>
        <v>H</v>
      </c>
      <c r="R1" s="79" t="str">
        <f t="shared" si="0"/>
        <v>H</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whole" allowBlank="1" showInputMessage="1" showErrorMessage="1" sqref="G27">
      <formula1>0</formula1>
      <formula2>20000</formula2>
    </dataValidation>
    <dataValidation type="whole" allowBlank="1" showInputMessage="1" showErrorMessage="1" sqref="G26">
      <formula1>0</formula1>
      <formula2>60</formula2>
    </dataValidation>
    <dataValidation type="decimal" allowBlank="1" showInputMessage="1" showErrorMessage="1" sqref="G22:R22">
      <formula1>0</formula1>
      <formula2>G21</formula2>
    </dataValidation>
    <dataValidation type="whole" allowBlank="1" showInputMessage="1" showErrorMessage="1" sqref="G25">
      <formula1>0</formula1>
      <formula2>20</formula2>
    </dataValidation>
    <dataValidation type="whole" allowBlank="1" showInputMessage="1" showErrorMessage="1" sqref="G9">
      <formula1>0</formula1>
      <formula2>900</formula2>
    </dataValidation>
    <dataValidation type="decimal" allowBlank="1" showInputMessage="1" showErrorMessage="1" sqref="G8">
      <formula1>0</formula1>
      <formula2>1.136</formula2>
    </dataValidation>
    <dataValidation type="decimal" allowBlank="1" showInputMessage="1" showErrorMessage="1" sqref="O6">
      <formula1>1.017162</formula1>
      <formula2>1.04</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Grundlon12!$F$108:$F$111</xm:f>
          </x14:formula1>
          <xm:sqref>G31:N31</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Grundlon12!$B$108:$B$134</xm:f>
          </x14:formula1>
          <xm:sqref>G5</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521</v>
      </c>
      <c r="H1" s="79" t="str">
        <f>G1</f>
        <v>I</v>
      </c>
      <c r="I1" s="79" t="str">
        <f t="shared" ref="I1:R1" si="0">H1</f>
        <v>I</v>
      </c>
      <c r="J1" s="79" t="str">
        <f t="shared" si="0"/>
        <v>I</v>
      </c>
      <c r="K1" s="79" t="str">
        <f t="shared" si="0"/>
        <v>I</v>
      </c>
      <c r="L1" s="79" t="str">
        <f t="shared" si="0"/>
        <v>I</v>
      </c>
      <c r="M1" s="79" t="str">
        <f t="shared" si="0"/>
        <v>I</v>
      </c>
      <c r="N1" s="79" t="str">
        <f t="shared" si="0"/>
        <v>I</v>
      </c>
      <c r="O1" s="79" t="str">
        <f t="shared" si="0"/>
        <v>I</v>
      </c>
      <c r="P1" s="79" t="str">
        <f t="shared" si="0"/>
        <v>I</v>
      </c>
      <c r="Q1" s="79" t="str">
        <f t="shared" si="0"/>
        <v>I</v>
      </c>
      <c r="R1" s="79" t="str">
        <f t="shared" si="0"/>
        <v>I</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decimal" allowBlank="1" showInputMessage="1" showErrorMessage="1" sqref="O6">
      <formula1>1.017162</formula1>
      <formula2>1.04</formula2>
    </dataValidation>
    <dataValidation type="decimal" allowBlank="1" showInputMessage="1" showErrorMessage="1" sqref="G8">
      <formula1>0</formula1>
      <formula2>1.136</formula2>
    </dataValidation>
    <dataValidation type="whole" allowBlank="1" showInputMessage="1" showErrorMessage="1" sqref="G9">
      <formula1>0</formula1>
      <formula2>900</formula2>
    </dataValidation>
    <dataValidation type="whole" allowBlank="1" showInputMessage="1" showErrorMessage="1" sqref="G25">
      <formula1>0</formula1>
      <formula2>20</formula2>
    </dataValidation>
    <dataValidation type="decimal" allowBlank="1" showInputMessage="1" showErrorMessage="1" sqref="G22:R22">
      <formula1>0</formula1>
      <formula2>G21</formula2>
    </dataValidation>
    <dataValidation type="whole" allowBlank="1" showInputMessage="1" showErrorMessage="1" sqref="G26">
      <formula1>0</formula1>
      <formula2>60</formula2>
    </dataValidation>
    <dataValidation type="whole" allowBlank="1" showInputMessage="1" showErrorMessage="1" sqref="G27">
      <formula1>0</formula1>
      <formula2>20000</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Grundlon12!$B$108:$B$134</xm:f>
          </x14:formula1>
          <xm:sqref>G5</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Grundlon12!$F$108:$F$111</xm:f>
          </x14:formula1>
          <xm:sqref>G31:N31</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522</v>
      </c>
      <c r="H1" s="79" t="str">
        <f>G1</f>
        <v>J</v>
      </c>
      <c r="I1" s="79" t="str">
        <f t="shared" ref="I1:R1" si="0">H1</f>
        <v>J</v>
      </c>
      <c r="J1" s="79" t="str">
        <f t="shared" si="0"/>
        <v>J</v>
      </c>
      <c r="K1" s="79" t="str">
        <f t="shared" si="0"/>
        <v>J</v>
      </c>
      <c r="L1" s="79" t="str">
        <f t="shared" si="0"/>
        <v>J</v>
      </c>
      <c r="M1" s="79" t="str">
        <f t="shared" si="0"/>
        <v>J</v>
      </c>
      <c r="N1" s="79" t="str">
        <f t="shared" si="0"/>
        <v>J</v>
      </c>
      <c r="O1" s="79" t="str">
        <f t="shared" si="0"/>
        <v>J</v>
      </c>
      <c r="P1" s="79" t="str">
        <f t="shared" si="0"/>
        <v>J</v>
      </c>
      <c r="Q1" s="79" t="str">
        <f t="shared" si="0"/>
        <v>J</v>
      </c>
      <c r="R1" s="79" t="str">
        <f t="shared" si="0"/>
        <v>J</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decimal" allowBlank="1" showInputMessage="1" showErrorMessage="1" sqref="O6">
      <formula1>1.017162</formula1>
      <formula2>1.04</formula2>
    </dataValidation>
    <dataValidation type="decimal" allowBlank="1" showInputMessage="1" showErrorMessage="1" sqref="G8">
      <formula1>0</formula1>
      <formula2>1.136</formula2>
    </dataValidation>
    <dataValidation type="whole" allowBlank="1" showInputMessage="1" showErrorMessage="1" sqref="G9">
      <formula1>0</formula1>
      <formula2>900</formula2>
    </dataValidation>
    <dataValidation type="whole" allowBlank="1" showInputMessage="1" showErrorMessage="1" sqref="G25">
      <formula1>0</formula1>
      <formula2>20</formula2>
    </dataValidation>
    <dataValidation type="decimal" allowBlank="1" showInputMessage="1" showErrorMessage="1" sqref="G22:R22">
      <formula1>0</formula1>
      <formula2>G21</formula2>
    </dataValidation>
    <dataValidation type="whole" allowBlank="1" showInputMessage="1" showErrorMessage="1" sqref="G26">
      <formula1>0</formula1>
      <formula2>60</formula2>
    </dataValidation>
    <dataValidation type="whole" allowBlank="1" showInputMessage="1" showErrorMessage="1" sqref="G27">
      <formula1>0</formula1>
      <formula2>20000</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Grundlon12!$B$108:$B$134</xm:f>
          </x14:formula1>
          <xm:sqref>G5</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Grundlon12!$F$108:$F$111</xm:f>
          </x14:formula1>
          <xm:sqref>G31:N31</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523</v>
      </c>
      <c r="H1" s="79" t="str">
        <f>G1</f>
        <v>K</v>
      </c>
      <c r="I1" s="79" t="str">
        <f t="shared" ref="I1:R1" si="0">H1</f>
        <v>K</v>
      </c>
      <c r="J1" s="79" t="str">
        <f t="shared" si="0"/>
        <v>K</v>
      </c>
      <c r="K1" s="79" t="str">
        <f t="shared" si="0"/>
        <v>K</v>
      </c>
      <c r="L1" s="79" t="str">
        <f t="shared" si="0"/>
        <v>K</v>
      </c>
      <c r="M1" s="79" t="str">
        <f t="shared" si="0"/>
        <v>K</v>
      </c>
      <c r="N1" s="79" t="str">
        <f t="shared" si="0"/>
        <v>K</v>
      </c>
      <c r="O1" s="79" t="str">
        <f t="shared" si="0"/>
        <v>K</v>
      </c>
      <c r="P1" s="79" t="str">
        <f t="shared" si="0"/>
        <v>K</v>
      </c>
      <c r="Q1" s="79" t="str">
        <f t="shared" si="0"/>
        <v>K</v>
      </c>
      <c r="R1" s="79" t="str">
        <f t="shared" si="0"/>
        <v>K</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whole" allowBlank="1" showInputMessage="1" showErrorMessage="1" sqref="G27">
      <formula1>0</formula1>
      <formula2>20000</formula2>
    </dataValidation>
    <dataValidation type="whole" allowBlank="1" showInputMessage="1" showErrorMessage="1" sqref="G26">
      <formula1>0</formula1>
      <formula2>60</formula2>
    </dataValidation>
    <dataValidation type="decimal" allowBlank="1" showInputMessage="1" showErrorMessage="1" sqref="G22:R22">
      <formula1>0</formula1>
      <formula2>G21</formula2>
    </dataValidation>
    <dataValidation type="whole" allowBlank="1" showInputMessage="1" showErrorMessage="1" sqref="G25">
      <formula1>0</formula1>
      <formula2>20</formula2>
    </dataValidation>
    <dataValidation type="whole" allowBlank="1" showInputMessage="1" showErrorMessage="1" sqref="G9">
      <formula1>0</formula1>
      <formula2>900</formula2>
    </dataValidation>
    <dataValidation type="decimal" allowBlank="1" showInputMessage="1" showErrorMessage="1" sqref="G8">
      <formula1>0</formula1>
      <formula2>1.136</formula2>
    </dataValidation>
    <dataValidation type="decimal" allowBlank="1" showInputMessage="1" showErrorMessage="1" sqref="O6">
      <formula1>1.017162</formula1>
      <formula2>1.04</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Grundlon12!$F$108:$F$111</xm:f>
          </x14:formula1>
          <xm:sqref>G31:N31</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Grundlon12!$B$108:$B$134</xm:f>
          </x14:formula1>
          <xm:sqref>G5</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288</v>
      </c>
      <c r="H1" s="79" t="str">
        <f>G1</f>
        <v>L</v>
      </c>
      <c r="I1" s="79" t="str">
        <f t="shared" ref="I1:R1" si="0">H1</f>
        <v>L</v>
      </c>
      <c r="J1" s="79" t="str">
        <f t="shared" si="0"/>
        <v>L</v>
      </c>
      <c r="K1" s="79" t="str">
        <f t="shared" si="0"/>
        <v>L</v>
      </c>
      <c r="L1" s="79" t="str">
        <f t="shared" si="0"/>
        <v>L</v>
      </c>
      <c r="M1" s="79" t="str">
        <f t="shared" si="0"/>
        <v>L</v>
      </c>
      <c r="N1" s="79" t="str">
        <f t="shared" si="0"/>
        <v>L</v>
      </c>
      <c r="O1" s="79" t="str">
        <f t="shared" si="0"/>
        <v>L</v>
      </c>
      <c r="P1" s="79" t="str">
        <f t="shared" si="0"/>
        <v>L</v>
      </c>
      <c r="Q1" s="79" t="str">
        <f t="shared" si="0"/>
        <v>L</v>
      </c>
      <c r="R1" s="79" t="str">
        <f t="shared" si="0"/>
        <v>L</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whole" allowBlank="1" showInputMessage="1" showErrorMessage="1" sqref="G27">
      <formula1>0</formula1>
      <formula2>20000</formula2>
    </dataValidation>
    <dataValidation type="whole" allowBlank="1" showInputMessage="1" showErrorMessage="1" sqref="G26">
      <formula1>0</formula1>
      <formula2>60</formula2>
    </dataValidation>
    <dataValidation type="decimal" allowBlank="1" showInputMessage="1" showErrorMessage="1" sqref="G22:R22">
      <formula1>0</formula1>
      <formula2>G21</formula2>
    </dataValidation>
    <dataValidation type="whole" allowBlank="1" showInputMessage="1" showErrorMessage="1" sqref="G25">
      <formula1>0</formula1>
      <formula2>20</formula2>
    </dataValidation>
    <dataValidation type="whole" allowBlank="1" showInputMessage="1" showErrorMessage="1" sqref="G9">
      <formula1>0</formula1>
      <formula2>900</formula2>
    </dataValidation>
    <dataValidation type="decimal" allowBlank="1" showInputMessage="1" showErrorMessage="1" sqref="G8">
      <formula1>0</formula1>
      <formula2>1.136</formula2>
    </dataValidation>
    <dataValidation type="decimal" allowBlank="1" showInputMessage="1" showErrorMessage="1" sqref="O6">
      <formula1>1.017162</formula1>
      <formula2>1.04</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Grundlon12!$F$108:$F$111</xm:f>
          </x14:formula1>
          <xm:sqref>G31:N31</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Grundlon12!$B$108:$B$134</xm:f>
          </x14:formula1>
          <xm:sqref>G5</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524</v>
      </c>
      <c r="H1" s="79" t="str">
        <f>G1</f>
        <v>M</v>
      </c>
      <c r="I1" s="79" t="str">
        <f t="shared" ref="I1:R1" si="0">H1</f>
        <v>M</v>
      </c>
      <c r="J1" s="79" t="str">
        <f t="shared" si="0"/>
        <v>M</v>
      </c>
      <c r="K1" s="79" t="str">
        <f t="shared" si="0"/>
        <v>M</v>
      </c>
      <c r="L1" s="79" t="str">
        <f t="shared" si="0"/>
        <v>M</v>
      </c>
      <c r="M1" s="79" t="str">
        <f t="shared" si="0"/>
        <v>M</v>
      </c>
      <c r="N1" s="79" t="str">
        <f t="shared" si="0"/>
        <v>M</v>
      </c>
      <c r="O1" s="79" t="str">
        <f t="shared" si="0"/>
        <v>M</v>
      </c>
      <c r="P1" s="79" t="str">
        <f t="shared" si="0"/>
        <v>M</v>
      </c>
      <c r="Q1" s="79" t="str">
        <f t="shared" si="0"/>
        <v>M</v>
      </c>
      <c r="R1" s="79" t="str">
        <f t="shared" si="0"/>
        <v>M</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decimal" allowBlank="1" showInputMessage="1" showErrorMessage="1" sqref="O6">
      <formula1>1.017162</formula1>
      <formula2>1.04</formula2>
    </dataValidation>
    <dataValidation type="decimal" allowBlank="1" showInputMessage="1" showErrorMessage="1" sqref="G8">
      <formula1>0</formula1>
      <formula2>1.136</formula2>
    </dataValidation>
    <dataValidation type="whole" allowBlank="1" showInputMessage="1" showErrorMessage="1" sqref="G9">
      <formula1>0</formula1>
      <formula2>900</formula2>
    </dataValidation>
    <dataValidation type="whole" allowBlank="1" showInputMessage="1" showErrorMessage="1" sqref="G25">
      <formula1>0</formula1>
      <formula2>20</formula2>
    </dataValidation>
    <dataValidation type="decimal" allowBlank="1" showInputMessage="1" showErrorMessage="1" sqref="G22:R22">
      <formula1>0</formula1>
      <formula2>G21</formula2>
    </dataValidation>
    <dataValidation type="whole" allowBlank="1" showInputMessage="1" showErrorMessage="1" sqref="G26">
      <formula1>0</formula1>
      <formula2>60</formula2>
    </dataValidation>
    <dataValidation type="whole" allowBlank="1" showInputMessage="1" showErrorMessage="1" sqref="G27">
      <formula1>0</formula1>
      <formula2>20000</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Grundlon12!$B$108:$B$134</xm:f>
          </x14:formula1>
          <xm:sqref>G5</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Grundlon12!$F$108:$F$111</xm:f>
          </x14:formula1>
          <xm:sqref>G31:N31</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28"/>
  <sheetViews>
    <sheetView workbookViewId="0">
      <selection activeCell="B25" sqref="B25"/>
    </sheetView>
  </sheetViews>
  <sheetFormatPr baseColWidth="10" defaultRowHeight="12" x14ac:dyDescent="0"/>
  <cols>
    <col min="1" max="1" width="6" style="106" customWidth="1"/>
    <col min="2" max="2" width="53.5703125" style="104" customWidth="1"/>
    <col min="3" max="16384" width="10.7109375" style="95"/>
  </cols>
  <sheetData>
    <row r="1" spans="1:2">
      <c r="A1" s="103" t="s">
        <v>60</v>
      </c>
    </row>
    <row r="2" spans="1:2" ht="33" customHeight="1">
      <c r="A2" s="105">
        <v>1</v>
      </c>
      <c r="B2" s="97" t="s">
        <v>181</v>
      </c>
    </row>
    <row r="3" spans="1:2" ht="57" customHeight="1">
      <c r="A3" s="105">
        <v>2</v>
      </c>
      <c r="B3" s="97" t="s">
        <v>72</v>
      </c>
    </row>
    <row r="4" spans="1:2" ht="48" customHeight="1">
      <c r="A4" s="105">
        <v>3</v>
      </c>
      <c r="B4" s="97" t="s">
        <v>236</v>
      </c>
    </row>
    <row r="5" spans="1:2">
      <c r="A5" s="103"/>
    </row>
    <row r="6" spans="1:2">
      <c r="A6" s="106" t="s">
        <v>73</v>
      </c>
    </row>
    <row r="7" spans="1:2" ht="20" customHeight="1">
      <c r="A7" s="105">
        <v>4</v>
      </c>
      <c r="B7" s="107" t="s">
        <v>91</v>
      </c>
    </row>
    <row r="8" spans="1:2" ht="31" customHeight="1">
      <c r="A8" s="105">
        <v>5</v>
      </c>
      <c r="B8" s="97" t="s">
        <v>235</v>
      </c>
    </row>
    <row r="9" spans="1:2" ht="48" customHeight="1">
      <c r="A9" s="105">
        <v>6</v>
      </c>
      <c r="B9" s="97" t="s">
        <v>182</v>
      </c>
    </row>
    <row r="10" spans="1:2" ht="35" customHeight="1">
      <c r="A10" s="105">
        <v>7</v>
      </c>
      <c r="B10" s="97" t="s">
        <v>138</v>
      </c>
    </row>
    <row r="11" spans="1:2" ht="45" customHeight="1">
      <c r="A11" s="105">
        <v>8</v>
      </c>
      <c r="B11" s="97" t="s">
        <v>161</v>
      </c>
    </row>
    <row r="12" spans="1:2">
      <c r="A12" s="103"/>
    </row>
    <row r="13" spans="1:2">
      <c r="A13" s="106" t="s">
        <v>74</v>
      </c>
    </row>
    <row r="14" spans="1:2" ht="50" customHeight="1">
      <c r="A14" s="105">
        <v>9</v>
      </c>
      <c r="B14" s="97" t="s">
        <v>126</v>
      </c>
    </row>
    <row r="15" spans="1:2" ht="36" customHeight="1">
      <c r="A15" s="105">
        <v>10</v>
      </c>
      <c r="B15" s="97" t="s">
        <v>99</v>
      </c>
    </row>
    <row r="16" spans="1:2" ht="32" customHeight="1">
      <c r="A16" s="105">
        <v>11</v>
      </c>
      <c r="B16" s="97" t="s">
        <v>170</v>
      </c>
    </row>
    <row r="17" spans="1:2">
      <c r="A17" s="103"/>
    </row>
    <row r="18" spans="1:2">
      <c r="A18" s="106" t="s">
        <v>178</v>
      </c>
    </row>
    <row r="19" spans="1:2" ht="48" customHeight="1">
      <c r="A19" s="105">
        <v>12</v>
      </c>
      <c r="B19" s="97" t="s">
        <v>176</v>
      </c>
    </row>
    <row r="20" spans="1:2">
      <c r="A20" s="103"/>
    </row>
    <row r="21" spans="1:2">
      <c r="A21" s="106" t="s">
        <v>382</v>
      </c>
    </row>
    <row r="22" spans="1:2" ht="131" customHeight="1">
      <c r="A22" s="105">
        <v>13</v>
      </c>
      <c r="B22" s="97" t="s">
        <v>402</v>
      </c>
    </row>
    <row r="23" spans="1:2">
      <c r="A23" s="103"/>
    </row>
    <row r="24" spans="1:2">
      <c r="A24" s="106" t="s">
        <v>476</v>
      </c>
    </row>
    <row r="25" spans="1:2" ht="139" customHeight="1">
      <c r="A25" s="105">
        <v>14</v>
      </c>
      <c r="B25" s="97" t="s">
        <v>477</v>
      </c>
    </row>
    <row r="26" spans="1:2" ht="20" customHeight="1">
      <c r="B26" s="97"/>
    </row>
    <row r="27" spans="1:2" ht="20" customHeight="1">
      <c r="B27" s="97"/>
    </row>
    <row r="28" spans="1:2" ht="20" customHeight="1">
      <c r="B28" s="97"/>
    </row>
  </sheetData>
  <phoneticPr fontId="19" type="noConversion"/>
  <pageMargins left="0.74803149606299213" right="0.15748031496062992" top="0.98425196850393704" bottom="0.19685039370078741" header="0.51181102362204722" footer="0.51181102362204722"/>
  <pageSetup paperSize="9"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525</v>
      </c>
      <c r="H1" s="79" t="str">
        <f>G1</f>
        <v>N</v>
      </c>
      <c r="I1" s="79" t="str">
        <f t="shared" ref="I1:R1" si="0">H1</f>
        <v>N</v>
      </c>
      <c r="J1" s="79" t="str">
        <f t="shared" si="0"/>
        <v>N</v>
      </c>
      <c r="K1" s="79" t="str">
        <f t="shared" si="0"/>
        <v>N</v>
      </c>
      <c r="L1" s="79" t="str">
        <f t="shared" si="0"/>
        <v>N</v>
      </c>
      <c r="M1" s="79" t="str">
        <f t="shared" si="0"/>
        <v>N</v>
      </c>
      <c r="N1" s="79" t="str">
        <f t="shared" si="0"/>
        <v>N</v>
      </c>
      <c r="O1" s="79" t="str">
        <f t="shared" si="0"/>
        <v>N</v>
      </c>
      <c r="P1" s="79" t="str">
        <f t="shared" si="0"/>
        <v>N</v>
      </c>
      <c r="Q1" s="79" t="str">
        <f t="shared" si="0"/>
        <v>N</v>
      </c>
      <c r="R1" s="79" t="str">
        <f t="shared" si="0"/>
        <v>N</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whole" allowBlank="1" showInputMessage="1" showErrorMessage="1" sqref="G27">
      <formula1>0</formula1>
      <formula2>20000</formula2>
    </dataValidation>
    <dataValidation type="whole" allowBlank="1" showInputMessage="1" showErrorMessage="1" sqref="G26">
      <formula1>0</formula1>
      <formula2>60</formula2>
    </dataValidation>
    <dataValidation type="decimal" allowBlank="1" showInputMessage="1" showErrorMessage="1" sqref="G22:R22">
      <formula1>0</formula1>
      <formula2>G21</formula2>
    </dataValidation>
    <dataValidation type="whole" allowBlank="1" showInputMessage="1" showErrorMessage="1" sqref="G25">
      <formula1>0</formula1>
      <formula2>20</formula2>
    </dataValidation>
    <dataValidation type="whole" allowBlank="1" showInputMessage="1" showErrorMessage="1" sqref="G9">
      <formula1>0</formula1>
      <formula2>900</formula2>
    </dataValidation>
    <dataValidation type="decimal" allowBlank="1" showInputMessage="1" showErrorMessage="1" sqref="G8">
      <formula1>0</formula1>
      <formula2>1.136</formula2>
    </dataValidation>
    <dataValidation type="decimal" allowBlank="1" showInputMessage="1" showErrorMessage="1" sqref="O6">
      <formula1>1.017162</formula1>
      <formula2>1.04</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Grundlon12!$F$108:$F$111</xm:f>
          </x14:formula1>
          <xm:sqref>G31:N31</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Grundlon12!$B$108:$B$134</xm:f>
          </x14:formula1>
          <xm:sqref>G5</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526</v>
      </c>
      <c r="H1" s="79" t="str">
        <f>G1</f>
        <v>O</v>
      </c>
      <c r="I1" s="79" t="str">
        <f t="shared" ref="I1:R1" si="0">H1</f>
        <v>O</v>
      </c>
      <c r="J1" s="79" t="str">
        <f t="shared" si="0"/>
        <v>O</v>
      </c>
      <c r="K1" s="79" t="str">
        <f t="shared" si="0"/>
        <v>O</v>
      </c>
      <c r="L1" s="79" t="str">
        <f t="shared" si="0"/>
        <v>O</v>
      </c>
      <c r="M1" s="79" t="str">
        <f t="shared" si="0"/>
        <v>O</v>
      </c>
      <c r="N1" s="79" t="str">
        <f t="shared" si="0"/>
        <v>O</v>
      </c>
      <c r="O1" s="79" t="str">
        <f t="shared" si="0"/>
        <v>O</v>
      </c>
      <c r="P1" s="79" t="str">
        <f t="shared" si="0"/>
        <v>O</v>
      </c>
      <c r="Q1" s="79" t="str">
        <f t="shared" si="0"/>
        <v>O</v>
      </c>
      <c r="R1" s="79" t="str">
        <f t="shared" si="0"/>
        <v>O</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decimal" allowBlank="1" showInputMessage="1" showErrorMessage="1" sqref="O6">
      <formula1>1.017162</formula1>
      <formula2>1.04</formula2>
    </dataValidation>
    <dataValidation type="decimal" allowBlank="1" showInputMessage="1" showErrorMessage="1" sqref="G8">
      <formula1>0</formula1>
      <formula2>1.136</formula2>
    </dataValidation>
    <dataValidation type="whole" allowBlank="1" showInputMessage="1" showErrorMessage="1" sqref="G9">
      <formula1>0</formula1>
      <formula2>900</formula2>
    </dataValidation>
    <dataValidation type="whole" allowBlank="1" showInputMessage="1" showErrorMessage="1" sqref="G25">
      <formula1>0</formula1>
      <formula2>20</formula2>
    </dataValidation>
    <dataValidation type="decimal" allowBlank="1" showInputMessage="1" showErrorMessage="1" sqref="G22:R22">
      <formula1>0</formula1>
      <formula2>G21</formula2>
    </dataValidation>
    <dataValidation type="whole" allowBlank="1" showInputMessage="1" showErrorMessage="1" sqref="G26">
      <formula1>0</formula1>
      <formula2>60</formula2>
    </dataValidation>
    <dataValidation type="whole" allowBlank="1" showInputMessage="1" showErrorMessage="1" sqref="G27">
      <formula1>0</formula1>
      <formula2>20000</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Grundlon12!$B$108:$B$134</xm:f>
          </x14:formula1>
          <xm:sqref>G5</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Grundlon12!$F$108:$F$111</xm:f>
          </x14:formula1>
          <xm:sqref>G31:N31</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527</v>
      </c>
      <c r="H1" s="79" t="str">
        <f>G1</f>
        <v>P</v>
      </c>
      <c r="I1" s="79" t="str">
        <f t="shared" ref="I1:R1" si="0">H1</f>
        <v>P</v>
      </c>
      <c r="J1" s="79" t="str">
        <f t="shared" si="0"/>
        <v>P</v>
      </c>
      <c r="K1" s="79" t="str">
        <f t="shared" si="0"/>
        <v>P</v>
      </c>
      <c r="L1" s="79" t="str">
        <f t="shared" si="0"/>
        <v>P</v>
      </c>
      <c r="M1" s="79" t="str">
        <f t="shared" si="0"/>
        <v>P</v>
      </c>
      <c r="N1" s="79" t="str">
        <f t="shared" si="0"/>
        <v>P</v>
      </c>
      <c r="O1" s="79" t="str">
        <f t="shared" si="0"/>
        <v>P</v>
      </c>
      <c r="P1" s="79" t="str">
        <f t="shared" si="0"/>
        <v>P</v>
      </c>
      <c r="Q1" s="79" t="str">
        <f t="shared" si="0"/>
        <v>P</v>
      </c>
      <c r="R1" s="79" t="str">
        <f t="shared" si="0"/>
        <v>P</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decimal" allowBlank="1" showInputMessage="1" showErrorMessage="1" sqref="O6">
      <formula1>1.017162</formula1>
      <formula2>1.04</formula2>
    </dataValidation>
    <dataValidation type="decimal" allowBlank="1" showInputMessage="1" showErrorMessage="1" sqref="G8">
      <formula1>0</formula1>
      <formula2>1.136</formula2>
    </dataValidation>
    <dataValidation type="whole" allowBlank="1" showInputMessage="1" showErrorMessage="1" sqref="G9">
      <formula1>0</formula1>
      <formula2>900</formula2>
    </dataValidation>
    <dataValidation type="whole" allowBlank="1" showInputMessage="1" showErrorMessage="1" sqref="G25">
      <formula1>0</formula1>
      <formula2>20</formula2>
    </dataValidation>
    <dataValidation type="decimal" allowBlank="1" showInputMessage="1" showErrorMessage="1" sqref="G22:R22">
      <formula1>0</formula1>
      <formula2>G21</formula2>
    </dataValidation>
    <dataValidation type="whole" allowBlank="1" showInputMessage="1" showErrorMessage="1" sqref="G26">
      <formula1>0</formula1>
      <formula2>60</formula2>
    </dataValidation>
    <dataValidation type="whole" allowBlank="1" showInputMessage="1" showErrorMessage="1" sqref="G27">
      <formula1>0</formula1>
      <formula2>20000</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Grundlon12!$B$108:$B$134</xm:f>
          </x14:formula1>
          <xm:sqref>G5</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Grundlon12!$F$108:$F$111</xm:f>
          </x14:formula1>
          <xm:sqref>G31:N31</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pageSetUpPr fitToPage="1"/>
  </sheetPr>
  <dimension ref="A1:J43"/>
  <sheetViews>
    <sheetView showZeros="0" workbookViewId="0">
      <selection activeCell="K55" sqref="K55"/>
    </sheetView>
  </sheetViews>
  <sheetFormatPr baseColWidth="10" defaultRowHeight="13" x14ac:dyDescent="0"/>
  <cols>
    <col min="2" max="2" width="38" customWidth="1"/>
    <col min="3" max="3" width="13.5703125" customWidth="1"/>
    <col min="4" max="4" width="10.7109375" customWidth="1"/>
  </cols>
  <sheetData>
    <row r="1" spans="1:10">
      <c r="A1" t="s">
        <v>291</v>
      </c>
      <c r="B1" s="272" t="s">
        <v>301</v>
      </c>
      <c r="C1" t="s">
        <v>302</v>
      </c>
    </row>
    <row r="2" spans="1:10">
      <c r="A2" t="s">
        <v>294</v>
      </c>
      <c r="B2" s="273" t="s">
        <v>303</v>
      </c>
      <c r="C2" t="s">
        <v>295</v>
      </c>
    </row>
    <row r="4" spans="1:10" ht="25" customHeight="1">
      <c r="A4">
        <v>1</v>
      </c>
      <c r="B4" s="274" t="s">
        <v>296</v>
      </c>
      <c r="C4" s="275" t="str">
        <f ca="1">INDIRECT($B$1&amp;"!"&amp;VLOOKUP($B$2,lmdr,2,0)&amp;A4)</f>
        <v>Leder</v>
      </c>
    </row>
    <row r="5" spans="1:10">
      <c r="A5">
        <v>2</v>
      </c>
      <c r="B5" s="276" t="s">
        <v>297</v>
      </c>
      <c r="C5" s="277" t="str">
        <f ca="1">INDIRECT($B$1&amp;"!"&amp;VLOOKUP($B$2,lmdr,2,0)&amp;A5)</f>
        <v>AUG 14</v>
      </c>
      <c r="I5" s="354" t="s">
        <v>303</v>
      </c>
      <c r="J5" s="355" t="s">
        <v>318</v>
      </c>
    </row>
    <row r="6" spans="1:10">
      <c r="A6">
        <v>9</v>
      </c>
      <c r="B6" s="278" t="s">
        <v>298</v>
      </c>
      <c r="C6" s="279">
        <f ca="1">INDIRECT($B$1&amp;"!"&amp;VLOOKUP($B$2,lmdr,2,0)&amp;A6)</f>
        <v>0</v>
      </c>
      <c r="I6" s="354" t="s">
        <v>319</v>
      </c>
      <c r="J6" s="355" t="s">
        <v>320</v>
      </c>
    </row>
    <row r="7" spans="1:10">
      <c r="A7">
        <v>3</v>
      </c>
      <c r="B7" s="276" t="s">
        <v>299</v>
      </c>
      <c r="C7" s="280">
        <f ca="1">INDIRECT($B$1&amp;"!"&amp;VLOOKUP($B$2,lmdr,2,0)&amp;A7)</f>
        <v>1</v>
      </c>
      <c r="I7" s="354" t="s">
        <v>321</v>
      </c>
      <c r="J7" s="355" t="s">
        <v>322</v>
      </c>
    </row>
    <row r="8" spans="1:10">
      <c r="A8">
        <v>4</v>
      </c>
      <c r="B8" s="281" t="s">
        <v>356</v>
      </c>
      <c r="C8" s="397">
        <f ca="1">INDIRECT($B$1&amp;"!"&amp;VLOOKUP($B$2,lmdr,2,0)&amp;A8)</f>
        <v>0</v>
      </c>
      <c r="I8" s="354" t="s">
        <v>323</v>
      </c>
      <c r="J8" s="355" t="s">
        <v>324</v>
      </c>
    </row>
    <row r="9" spans="1:10">
      <c r="B9" s="276"/>
      <c r="C9" s="282"/>
      <c r="I9" s="354" t="s">
        <v>325</v>
      </c>
      <c r="J9" s="355" t="s">
        <v>326</v>
      </c>
    </row>
    <row r="10" spans="1:10">
      <c r="A10" s="283">
        <v>34</v>
      </c>
      <c r="B10" s="284" t="str">
        <f ca="1">IF(C10&lt;&gt;0,INDIRECT($B$1&amp;"!b"&amp;A10),"")</f>
        <v/>
      </c>
      <c r="C10" s="285">
        <f t="shared" ref="C10:C43" ca="1" si="0">INDIRECT($B$1&amp;"!"&amp;VLOOKUP($B$2,lmdr,2,0)&amp;A10)</f>
        <v>0</v>
      </c>
      <c r="I10" s="354" t="s">
        <v>327</v>
      </c>
      <c r="J10" s="355" t="s">
        <v>328</v>
      </c>
    </row>
    <row r="11" spans="1:10">
      <c r="A11" s="283">
        <v>35</v>
      </c>
      <c r="B11" s="301" t="str">
        <f t="shared" ref="B11:B43" ca="1" si="1">IF(C11&lt;&gt;0,INDIRECT($B$1&amp;"!b"&amp;A11),"")</f>
        <v/>
      </c>
      <c r="C11" s="302">
        <f t="shared" ca="1" si="0"/>
        <v>0</v>
      </c>
      <c r="I11" s="354" t="s">
        <v>329</v>
      </c>
      <c r="J11" s="355" t="s">
        <v>330</v>
      </c>
    </row>
    <row r="12" spans="1:10">
      <c r="A12" s="283">
        <v>36</v>
      </c>
      <c r="B12" s="284" t="str">
        <f t="shared" ca="1" si="1"/>
        <v/>
      </c>
      <c r="C12" s="285">
        <f t="shared" ca="1" si="0"/>
        <v>0</v>
      </c>
      <c r="I12" s="354" t="s">
        <v>331</v>
      </c>
      <c r="J12" s="355" t="s">
        <v>332</v>
      </c>
    </row>
    <row r="13" spans="1:10">
      <c r="A13" s="283">
        <v>37</v>
      </c>
      <c r="B13" s="301" t="str">
        <f t="shared" ca="1" si="1"/>
        <v/>
      </c>
      <c r="C13" s="302">
        <f t="shared" ca="1" si="0"/>
        <v>0</v>
      </c>
      <c r="I13" s="354" t="s">
        <v>333</v>
      </c>
      <c r="J13" s="355" t="s">
        <v>334</v>
      </c>
    </row>
    <row r="14" spans="1:10">
      <c r="A14" s="283">
        <v>38</v>
      </c>
      <c r="B14" s="284" t="str">
        <f t="shared" ca="1" si="1"/>
        <v/>
      </c>
      <c r="C14" s="285">
        <f t="shared" ca="1" si="0"/>
        <v>0</v>
      </c>
      <c r="I14" s="354" t="s">
        <v>335</v>
      </c>
      <c r="J14" s="355" t="s">
        <v>336</v>
      </c>
    </row>
    <row r="15" spans="1:10">
      <c r="A15" s="283">
        <v>39</v>
      </c>
      <c r="B15" s="301" t="str">
        <f t="shared" ca="1" si="1"/>
        <v/>
      </c>
      <c r="C15" s="302">
        <f t="shared" ca="1" si="0"/>
        <v>0</v>
      </c>
      <c r="I15" s="354" t="s">
        <v>337</v>
      </c>
      <c r="J15" s="355" t="s">
        <v>338</v>
      </c>
    </row>
    <row r="16" spans="1:10">
      <c r="A16" s="283">
        <v>40</v>
      </c>
      <c r="B16" s="284" t="str">
        <f t="shared" ca="1" si="1"/>
        <v/>
      </c>
      <c r="C16" s="285">
        <f t="shared" ca="1" si="0"/>
        <v>0</v>
      </c>
      <c r="I16" s="356" t="s">
        <v>339</v>
      </c>
      <c r="J16" s="357" t="s">
        <v>340</v>
      </c>
    </row>
    <row r="17" spans="1:3">
      <c r="A17" s="283">
        <v>41</v>
      </c>
      <c r="B17" s="301" t="str">
        <f t="shared" ca="1" si="1"/>
        <v/>
      </c>
      <c r="C17" s="302">
        <f t="shared" ca="1" si="0"/>
        <v>0</v>
      </c>
    </row>
    <row r="18" spans="1:3">
      <c r="A18" s="283">
        <v>42</v>
      </c>
      <c r="B18" s="284" t="str">
        <f t="shared" ca="1" si="1"/>
        <v/>
      </c>
      <c r="C18" s="285">
        <f t="shared" ca="1" si="0"/>
        <v>0</v>
      </c>
    </row>
    <row r="19" spans="1:3">
      <c r="A19" s="283">
        <v>43</v>
      </c>
      <c r="B19" s="303" t="str">
        <f t="shared" ca="1" si="1"/>
        <v/>
      </c>
      <c r="C19" s="304">
        <f t="shared" ca="1" si="0"/>
        <v>0</v>
      </c>
    </row>
    <row r="20" spans="1:3">
      <c r="A20" s="283">
        <v>44</v>
      </c>
      <c r="B20" s="286" t="str">
        <f t="shared" ca="1" si="1"/>
        <v/>
      </c>
      <c r="C20" s="287">
        <f t="shared" ca="1" si="0"/>
        <v>0</v>
      </c>
    </row>
    <row r="21" spans="1:3">
      <c r="A21" s="283">
        <v>45</v>
      </c>
      <c r="B21" s="288" t="str">
        <f t="shared" ca="1" si="1"/>
        <v/>
      </c>
      <c r="C21" s="289">
        <f t="shared" ca="1" si="0"/>
        <v>0</v>
      </c>
    </row>
    <row r="22" spans="1:3">
      <c r="A22" s="283">
        <v>46</v>
      </c>
      <c r="B22" s="286" t="str">
        <f t="shared" ca="1" si="1"/>
        <v/>
      </c>
      <c r="C22" s="287">
        <f t="shared" ca="1" si="0"/>
        <v>0</v>
      </c>
    </row>
    <row r="23" spans="1:3">
      <c r="A23" s="283">
        <v>47</v>
      </c>
      <c r="B23" s="288" t="str">
        <f t="shared" ca="1" si="1"/>
        <v/>
      </c>
      <c r="C23" s="289">
        <f t="shared" ca="1" si="0"/>
        <v>0</v>
      </c>
    </row>
    <row r="24" spans="1:3">
      <c r="A24" s="283">
        <v>48</v>
      </c>
      <c r="B24" s="286" t="str">
        <f t="shared" ca="1" si="1"/>
        <v/>
      </c>
      <c r="C24" s="287">
        <f t="shared" ca="1" si="0"/>
        <v>0</v>
      </c>
    </row>
    <row r="25" spans="1:3">
      <c r="A25" s="283">
        <v>49</v>
      </c>
      <c r="B25" s="288" t="str">
        <f t="shared" ca="1" si="1"/>
        <v/>
      </c>
      <c r="C25" s="289">
        <f t="shared" ca="1" si="0"/>
        <v>0</v>
      </c>
    </row>
    <row r="26" spans="1:3">
      <c r="A26" s="283">
        <v>50</v>
      </c>
      <c r="B26" s="286" t="str">
        <f t="shared" ca="1" si="1"/>
        <v/>
      </c>
      <c r="C26" s="287">
        <f t="shared" ca="1" si="0"/>
        <v>0</v>
      </c>
    </row>
    <row r="27" spans="1:3">
      <c r="A27" s="283">
        <v>51</v>
      </c>
      <c r="B27" s="290" t="str">
        <f t="shared" ca="1" si="1"/>
        <v/>
      </c>
      <c r="C27" s="291">
        <f t="shared" ca="1" si="0"/>
        <v>0</v>
      </c>
    </row>
    <row r="28" spans="1:3">
      <c r="A28" s="283">
        <v>52</v>
      </c>
      <c r="B28" s="292" t="str">
        <f t="shared" ca="1" si="1"/>
        <v/>
      </c>
      <c r="C28" s="293">
        <f t="shared" ca="1" si="0"/>
        <v>0</v>
      </c>
    </row>
    <row r="29" spans="1:3">
      <c r="A29" s="283">
        <v>53</v>
      </c>
      <c r="B29" s="294" t="str">
        <f t="shared" ca="1" si="1"/>
        <v/>
      </c>
      <c r="C29" s="295">
        <f t="shared" ca="1" si="0"/>
        <v>0</v>
      </c>
    </row>
    <row r="30" spans="1:3">
      <c r="A30" s="283">
        <v>54</v>
      </c>
      <c r="B30" s="292" t="str">
        <f t="shared" ca="1" si="1"/>
        <v/>
      </c>
      <c r="C30" s="293">
        <f t="shared" ca="1" si="0"/>
        <v>0</v>
      </c>
    </row>
    <row r="31" spans="1:3">
      <c r="A31" s="283">
        <v>55</v>
      </c>
      <c r="B31" s="294" t="str">
        <f t="shared" ca="1" si="1"/>
        <v/>
      </c>
      <c r="C31" s="296">
        <f t="shared" ca="1" si="0"/>
        <v>0</v>
      </c>
    </row>
    <row r="32" spans="1:3">
      <c r="A32" s="283">
        <v>56</v>
      </c>
      <c r="B32" s="292" t="str">
        <f t="shared" ca="1" si="1"/>
        <v/>
      </c>
      <c r="C32" s="293">
        <f t="shared" ca="1" si="0"/>
        <v>0</v>
      </c>
    </row>
    <row r="33" spans="1:3">
      <c r="A33" s="283">
        <v>20</v>
      </c>
      <c r="B33" s="305" t="str">
        <f t="shared" ca="1" si="1"/>
        <v/>
      </c>
      <c r="C33" s="297">
        <f t="shared" ca="1" si="0"/>
        <v>0</v>
      </c>
    </row>
    <row r="34" spans="1:3">
      <c r="A34" s="283">
        <v>19</v>
      </c>
      <c r="B34" s="306" t="str">
        <f t="shared" ca="1" si="1"/>
        <v/>
      </c>
      <c r="C34" s="298">
        <f t="shared" ca="1" si="0"/>
        <v>0</v>
      </c>
    </row>
    <row r="35" spans="1:3">
      <c r="A35" s="283">
        <v>57</v>
      </c>
      <c r="B35" s="294" t="str">
        <f t="shared" ca="1" si="1"/>
        <v/>
      </c>
      <c r="C35" s="295">
        <f t="shared" ca="1" si="0"/>
        <v>0</v>
      </c>
    </row>
    <row r="36" spans="1:3">
      <c r="A36" s="283">
        <v>60</v>
      </c>
      <c r="B36" s="292" t="str">
        <f t="shared" ca="1" si="1"/>
        <v/>
      </c>
      <c r="C36" s="293">
        <f t="shared" ca="1" si="0"/>
        <v>0</v>
      </c>
    </row>
    <row r="37" spans="1:3">
      <c r="A37" s="283">
        <v>61</v>
      </c>
      <c r="B37" s="294" t="str">
        <f t="shared" ca="1" si="1"/>
        <v/>
      </c>
      <c r="C37" s="295">
        <f t="shared" ca="1" si="0"/>
        <v>0</v>
      </c>
    </row>
    <row r="38" spans="1:3">
      <c r="A38" s="283">
        <v>62</v>
      </c>
      <c r="B38" s="292" t="str">
        <f t="shared" ca="1" si="1"/>
        <v/>
      </c>
      <c r="C38" s="293">
        <f t="shared" ca="1" si="0"/>
        <v>0</v>
      </c>
    </row>
    <row r="39" spans="1:3">
      <c r="A39" s="283">
        <v>63</v>
      </c>
      <c r="B39" s="294" t="str">
        <f t="shared" ca="1" si="1"/>
        <v/>
      </c>
      <c r="C39" s="296">
        <f t="shared" ca="1" si="0"/>
        <v>0</v>
      </c>
    </row>
    <row r="40" spans="1:3">
      <c r="A40" s="283">
        <v>64</v>
      </c>
      <c r="B40" s="292" t="str">
        <f t="shared" ca="1" si="1"/>
        <v/>
      </c>
      <c r="C40" s="293">
        <f t="shared" ca="1" si="0"/>
        <v>0</v>
      </c>
    </row>
    <row r="41" spans="1:3">
      <c r="A41" s="283">
        <v>65</v>
      </c>
      <c r="B41" s="294" t="str">
        <f t="shared" ca="1" si="1"/>
        <v/>
      </c>
      <c r="C41" s="295">
        <f t="shared" ca="1" si="0"/>
        <v>0</v>
      </c>
    </row>
    <row r="42" spans="1:3">
      <c r="A42" s="283">
        <v>66</v>
      </c>
      <c r="B42" s="292" t="str">
        <f t="shared" ca="1" si="1"/>
        <v/>
      </c>
      <c r="C42" s="293">
        <f t="shared" ca="1" si="0"/>
        <v>0</v>
      </c>
    </row>
    <row r="43" spans="1:3">
      <c r="A43" s="283">
        <v>67</v>
      </c>
      <c r="B43" s="299" t="str">
        <f t="shared" ca="1" si="1"/>
        <v/>
      </c>
      <c r="C43" s="300">
        <f t="shared" ca="1" si="0"/>
        <v>0</v>
      </c>
    </row>
  </sheetData>
  <sheetProtection sheet="1" objects="1" scenarios="1" formatCells="0" formatColumns="0"/>
  <printOptions horizontalCentered="1" verticalCentered="1"/>
  <pageMargins left="0.75000000000000011" right="0.75000000000000011" top="1" bottom="1" header="0.5" footer="0.5"/>
  <pageSetup paperSize="9" orientation="portrait" horizontalDpi="4294967292" verticalDpi="4294967292"/>
  <extLst>
    <ext xmlns:mx="http://schemas.microsoft.com/office/mac/excel/2008/main" uri="{64002731-A6B0-56B0-2670-7721B7C09600}">
      <mx:PLV Mode="0" OnePage="0" WScale="10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V261"/>
  <sheetViews>
    <sheetView workbookViewId="0">
      <pane xSplit="3" ySplit="2" topLeftCell="D3" activePane="bottomRight" state="frozen"/>
      <selection activeCell="C1" sqref="C1"/>
      <selection pane="topRight" activeCell="C1" sqref="C1"/>
      <selection pane="bottomLeft" activeCell="C1" sqref="C1"/>
      <selection pane="bottomRight" activeCell="D1" sqref="D1"/>
    </sheetView>
  </sheetViews>
  <sheetFormatPr baseColWidth="10" defaultColWidth="20.85546875" defaultRowHeight="12" x14ac:dyDescent="0"/>
  <cols>
    <col min="1" max="1" width="3.5703125" style="23" customWidth="1"/>
    <col min="2" max="2" width="32.42578125" style="4" customWidth="1"/>
    <col min="3" max="3" width="10.140625" style="4" customWidth="1"/>
    <col min="4" max="11" width="9.7109375" style="25" customWidth="1"/>
    <col min="12" max="15" width="12" style="25" customWidth="1"/>
    <col min="16" max="16" width="44.85546875" style="3" customWidth="1"/>
    <col min="17" max="17" width="9.7109375" style="127" customWidth="1"/>
    <col min="18" max="18" width="10.140625" style="127" customWidth="1"/>
    <col min="19" max="22" width="8.7109375" style="127" customWidth="1"/>
    <col min="23" max="16384" width="20.85546875" style="86"/>
  </cols>
  <sheetData>
    <row r="1" spans="1:22" ht="27" customHeight="1">
      <c r="A1" s="1">
        <v>1</v>
      </c>
      <c r="B1" s="64" t="s">
        <v>14</v>
      </c>
      <c r="C1" s="23" t="s">
        <v>534</v>
      </c>
      <c r="D1" s="600" t="s">
        <v>39</v>
      </c>
      <c r="E1" s="79" t="str">
        <f>D1</f>
        <v>Leder</v>
      </c>
      <c r="F1" s="79" t="str">
        <f t="shared" ref="F1:O1" si="0">E1</f>
        <v>Leder</v>
      </c>
      <c r="G1" s="79" t="str">
        <f t="shared" si="0"/>
        <v>Leder</v>
      </c>
      <c r="H1" s="79" t="str">
        <f t="shared" si="0"/>
        <v>Leder</v>
      </c>
      <c r="I1" s="79" t="str">
        <f t="shared" si="0"/>
        <v>Leder</v>
      </c>
      <c r="J1" s="79" t="str">
        <f t="shared" si="0"/>
        <v>Leder</v>
      </c>
      <c r="K1" s="79" t="str">
        <f t="shared" si="0"/>
        <v>Leder</v>
      </c>
      <c r="L1" s="79" t="str">
        <f t="shared" si="0"/>
        <v>Leder</v>
      </c>
      <c r="M1" s="79" t="str">
        <f t="shared" si="0"/>
        <v>Leder</v>
      </c>
      <c r="N1" s="79" t="str">
        <f t="shared" si="0"/>
        <v>Leder</v>
      </c>
      <c r="O1" s="79" t="str">
        <f t="shared" si="0"/>
        <v>Leder</v>
      </c>
      <c r="P1" s="3" t="s">
        <v>198</v>
      </c>
      <c r="Q1" s="92"/>
      <c r="R1" s="92"/>
      <c r="S1" s="92"/>
      <c r="T1" s="92"/>
      <c r="U1" s="92"/>
      <c r="V1" s="92"/>
    </row>
    <row r="2" spans="1:22" ht="14" customHeight="1">
      <c r="A2" s="5">
        <f t="shared" ref="A2:A37" si="1">A1+1</f>
        <v>2</v>
      </c>
      <c r="B2" s="94" t="s">
        <v>44</v>
      </c>
      <c r="C2" s="242" t="s">
        <v>358</v>
      </c>
      <c r="D2" s="78" t="str">
        <f>"AUG 14"</f>
        <v>AUG 14</v>
      </c>
      <c r="E2" s="78" t="str">
        <f>"SEP14"</f>
        <v>SEP14</v>
      </c>
      <c r="F2" s="78" t="str">
        <f>"OKT 14"</f>
        <v>OKT 14</v>
      </c>
      <c r="G2" s="78" t="str">
        <f>"NOV 14"</f>
        <v>NOV 14</v>
      </c>
      <c r="H2" s="78" t="str">
        <f>"DEC 14"</f>
        <v>DEC 14</v>
      </c>
      <c r="I2" s="78" t="str">
        <f>"JAN 15"</f>
        <v>JAN 15</v>
      </c>
      <c r="J2" s="78" t="str">
        <f>"FEB 15"</f>
        <v>FEB 15</v>
      </c>
      <c r="K2" s="78" t="str">
        <f>"MAR 15"</f>
        <v>MAR 15</v>
      </c>
      <c r="L2" s="265" t="str">
        <f>"APR 15"</f>
        <v>APR 15</v>
      </c>
      <c r="M2" s="265" t="str">
        <f>"MAJ15"</f>
        <v>MAJ15</v>
      </c>
      <c r="N2" s="265" t="str">
        <f>"JUN 15"</f>
        <v>JUN 15</v>
      </c>
      <c r="O2" s="265" t="str">
        <f>"JUL 15"</f>
        <v>JUL 15</v>
      </c>
      <c r="P2" s="263" t="s">
        <v>177</v>
      </c>
      <c r="Q2" s="92"/>
      <c r="R2" s="92"/>
      <c r="S2" s="92"/>
      <c r="T2" s="92"/>
      <c r="U2" s="92"/>
      <c r="V2" s="92"/>
    </row>
    <row r="3" spans="1:22" ht="27" customHeight="1">
      <c r="A3" s="5">
        <f t="shared" si="1"/>
        <v>3</v>
      </c>
      <c r="B3" s="168" t="s">
        <v>45</v>
      </c>
      <c r="C3" s="642" t="s">
        <v>239</v>
      </c>
      <c r="D3" s="425">
        <v>1</v>
      </c>
      <c r="E3" s="246">
        <v>1</v>
      </c>
      <c r="F3" s="246">
        <v>1</v>
      </c>
      <c r="G3" s="246">
        <v>1</v>
      </c>
      <c r="H3" s="246">
        <v>1</v>
      </c>
      <c r="I3" s="246">
        <v>1</v>
      </c>
      <c r="J3" s="246">
        <v>1</v>
      </c>
      <c r="K3" s="246">
        <v>1</v>
      </c>
      <c r="L3" s="247">
        <v>1</v>
      </c>
      <c r="M3" s="247">
        <v>1</v>
      </c>
      <c r="N3" s="247">
        <v>1</v>
      </c>
      <c r="O3" s="247">
        <v>1</v>
      </c>
      <c r="P3" s="7" t="s">
        <v>404</v>
      </c>
      <c r="Q3" s="92"/>
      <c r="R3" s="92"/>
      <c r="S3" s="92"/>
      <c r="T3" s="92"/>
      <c r="U3" s="92"/>
      <c r="V3" s="92"/>
    </row>
    <row r="4" spans="1:22" ht="14" customHeight="1">
      <c r="A4" s="5">
        <f t="shared" si="1"/>
        <v>4</v>
      </c>
      <c r="B4" s="169" t="s">
        <v>355</v>
      </c>
      <c r="C4" s="643"/>
      <c r="D4" s="396"/>
      <c r="E4" s="351">
        <f>D4</f>
        <v>0</v>
      </c>
      <c r="F4" s="351">
        <f t="shared" ref="F4:O5" si="2">E4</f>
        <v>0</v>
      </c>
      <c r="G4" s="351">
        <f t="shared" si="2"/>
        <v>0</v>
      </c>
      <c r="H4" s="351">
        <f t="shared" si="2"/>
        <v>0</v>
      </c>
      <c r="I4" s="351">
        <f t="shared" si="2"/>
        <v>0</v>
      </c>
      <c r="J4" s="351">
        <f t="shared" si="2"/>
        <v>0</v>
      </c>
      <c r="K4" s="351">
        <f t="shared" si="2"/>
        <v>0</v>
      </c>
      <c r="L4" s="351">
        <f t="shared" si="2"/>
        <v>0</v>
      </c>
      <c r="M4" s="250">
        <f t="shared" si="2"/>
        <v>0</v>
      </c>
      <c r="N4" s="250">
        <f t="shared" si="2"/>
        <v>0</v>
      </c>
      <c r="O4" s="250">
        <f t="shared" si="2"/>
        <v>0</v>
      </c>
      <c r="P4" s="269" t="s">
        <v>17</v>
      </c>
      <c r="Q4" s="92"/>
      <c r="R4" s="92"/>
      <c r="S4" s="92"/>
      <c r="T4" s="92"/>
      <c r="U4" s="92"/>
      <c r="V4" s="92"/>
    </row>
    <row r="5" spans="1:22" ht="28" customHeight="1">
      <c r="A5" s="5">
        <f t="shared" si="1"/>
        <v>5</v>
      </c>
      <c r="B5" s="268" t="s">
        <v>5</v>
      </c>
      <c r="C5" s="643"/>
      <c r="D5" s="421"/>
      <c r="E5" s="250">
        <f>D5</f>
        <v>0</v>
      </c>
      <c r="F5" s="250">
        <f t="shared" si="2"/>
        <v>0</v>
      </c>
      <c r="G5" s="250">
        <f t="shared" si="2"/>
        <v>0</v>
      </c>
      <c r="H5" s="250">
        <f t="shared" si="2"/>
        <v>0</v>
      </c>
      <c r="I5" s="250">
        <f t="shared" si="2"/>
        <v>0</v>
      </c>
      <c r="J5" s="250">
        <f t="shared" si="2"/>
        <v>0</v>
      </c>
      <c r="K5" s="250">
        <f t="shared" si="2"/>
        <v>0</v>
      </c>
      <c r="L5" s="250">
        <f>K5</f>
        <v>0</v>
      </c>
      <c r="M5" s="250">
        <f>L5</f>
        <v>0</v>
      </c>
      <c r="N5" s="250">
        <f t="shared" si="2"/>
        <v>0</v>
      </c>
      <c r="O5" s="250">
        <f t="shared" si="2"/>
        <v>0</v>
      </c>
      <c r="P5" s="269" t="s">
        <v>6</v>
      </c>
      <c r="Q5" s="92"/>
      <c r="R5" s="92"/>
      <c r="S5" s="92"/>
      <c r="T5" s="92"/>
      <c r="U5" s="92"/>
      <c r="V5" s="92"/>
    </row>
    <row r="6" spans="1:22" ht="24" customHeight="1">
      <c r="A6" s="5">
        <f t="shared" si="1"/>
        <v>6</v>
      </c>
      <c r="B6" s="169" t="s">
        <v>123</v>
      </c>
      <c r="C6" s="643"/>
      <c r="D6" s="418" t="s">
        <v>238</v>
      </c>
      <c r="E6" s="80" t="str">
        <f>$D6</f>
        <v>L</v>
      </c>
      <c r="F6" s="80" t="str">
        <f t="shared" ref="F6:O8" si="3">$D6</f>
        <v>L</v>
      </c>
      <c r="G6" s="80" t="str">
        <f t="shared" si="3"/>
        <v>L</v>
      </c>
      <c r="H6" s="80" t="str">
        <f t="shared" si="3"/>
        <v>L</v>
      </c>
      <c r="I6" s="80" t="str">
        <f t="shared" si="3"/>
        <v>L</v>
      </c>
      <c r="J6" s="80" t="str">
        <f t="shared" si="3"/>
        <v>L</v>
      </c>
      <c r="K6" s="80" t="str">
        <f t="shared" si="3"/>
        <v>L</v>
      </c>
      <c r="L6" s="80" t="str">
        <f t="shared" si="3"/>
        <v>L</v>
      </c>
      <c r="M6" s="80" t="str">
        <f t="shared" si="3"/>
        <v>L</v>
      </c>
      <c r="N6" s="80" t="str">
        <f t="shared" si="3"/>
        <v>L</v>
      </c>
      <c r="O6" s="80" t="str">
        <f t="shared" si="3"/>
        <v>L</v>
      </c>
      <c r="P6" s="7" t="s">
        <v>15</v>
      </c>
      <c r="Q6" s="92"/>
      <c r="R6" s="92"/>
      <c r="S6" s="92"/>
      <c r="T6" s="92"/>
      <c r="U6" s="92"/>
      <c r="V6" s="92"/>
    </row>
    <row r="7" spans="1:22" ht="14" customHeight="1">
      <c r="A7" s="5">
        <f t="shared" si="1"/>
        <v>7</v>
      </c>
      <c r="B7" s="169" t="s">
        <v>223</v>
      </c>
      <c r="C7" s="643"/>
      <c r="D7" s="71">
        <v>1.0171619999999999</v>
      </c>
      <c r="E7" s="71">
        <f>D7</f>
        <v>1.0171619999999999</v>
      </c>
      <c r="F7" s="71">
        <f t="shared" ref="F7:K7" si="4">E7</f>
        <v>1.0171619999999999</v>
      </c>
      <c r="G7" s="71">
        <f t="shared" si="4"/>
        <v>1.0171619999999999</v>
      </c>
      <c r="H7" s="71">
        <f t="shared" si="4"/>
        <v>1.0171619999999999</v>
      </c>
      <c r="I7" s="71">
        <f t="shared" si="4"/>
        <v>1.0171619999999999</v>
      </c>
      <c r="J7" s="71">
        <f t="shared" si="4"/>
        <v>1.0171619999999999</v>
      </c>
      <c r="K7" s="71">
        <f t="shared" si="4"/>
        <v>1.0171619999999999</v>
      </c>
      <c r="L7" s="398">
        <v>1.038</v>
      </c>
      <c r="M7" s="71">
        <f>L7</f>
        <v>1.038</v>
      </c>
      <c r="N7" s="71">
        <f>M7</f>
        <v>1.038</v>
      </c>
      <c r="O7" s="71">
        <f>N7</f>
        <v>1.038</v>
      </c>
      <c r="P7" s="427" t="s">
        <v>535</v>
      </c>
      <c r="Q7" s="92"/>
      <c r="R7" s="92"/>
      <c r="S7" s="92"/>
      <c r="T7" s="92"/>
      <c r="U7" s="92"/>
      <c r="V7" s="92"/>
    </row>
    <row r="8" spans="1:22" ht="14" customHeight="1">
      <c r="A8" s="5">
        <f t="shared" si="1"/>
        <v>8</v>
      </c>
      <c r="B8" s="169" t="s">
        <v>139</v>
      </c>
      <c r="C8" s="643"/>
      <c r="D8" s="396">
        <v>2</v>
      </c>
      <c r="E8" s="80">
        <f>$D8</f>
        <v>2</v>
      </c>
      <c r="F8" s="80">
        <f t="shared" si="3"/>
        <v>2</v>
      </c>
      <c r="G8" s="80">
        <f t="shared" si="3"/>
        <v>2</v>
      </c>
      <c r="H8" s="80">
        <f t="shared" si="3"/>
        <v>2</v>
      </c>
      <c r="I8" s="80">
        <f t="shared" si="3"/>
        <v>2</v>
      </c>
      <c r="J8" s="80">
        <f t="shared" si="3"/>
        <v>2</v>
      </c>
      <c r="K8" s="80">
        <f t="shared" si="3"/>
        <v>2</v>
      </c>
      <c r="L8" s="80">
        <f t="shared" si="3"/>
        <v>2</v>
      </c>
      <c r="M8" s="80">
        <f t="shared" si="3"/>
        <v>2</v>
      </c>
      <c r="N8" s="80">
        <f t="shared" si="3"/>
        <v>2</v>
      </c>
      <c r="O8" s="80">
        <f t="shared" si="3"/>
        <v>2</v>
      </c>
      <c r="P8" s="3" t="s">
        <v>108</v>
      </c>
      <c r="Q8" s="92"/>
      <c r="R8" s="92"/>
      <c r="S8" s="92"/>
      <c r="T8" s="92"/>
      <c r="U8" s="92"/>
      <c r="V8" s="92"/>
    </row>
    <row r="9" spans="1:22" ht="24">
      <c r="A9" s="5">
        <f t="shared" si="1"/>
        <v>9</v>
      </c>
      <c r="B9" s="169" t="s">
        <v>42</v>
      </c>
      <c r="C9" s="643"/>
      <c r="D9" s="419"/>
      <c r="E9" s="249">
        <f>D9</f>
        <v>0</v>
      </c>
      <c r="F9" s="249">
        <f t="shared" ref="F9:O10" si="5">E9</f>
        <v>0</v>
      </c>
      <c r="G9" s="249">
        <f t="shared" si="5"/>
        <v>0</v>
      </c>
      <c r="H9" s="249">
        <f t="shared" si="5"/>
        <v>0</v>
      </c>
      <c r="I9" s="249">
        <f t="shared" si="5"/>
        <v>0</v>
      </c>
      <c r="J9" s="249">
        <f t="shared" si="5"/>
        <v>0</v>
      </c>
      <c r="K9" s="249">
        <f t="shared" si="5"/>
        <v>0</v>
      </c>
      <c r="L9" s="249">
        <f t="shared" si="5"/>
        <v>0</v>
      </c>
      <c r="M9" s="249">
        <f t="shared" si="5"/>
        <v>0</v>
      </c>
      <c r="N9" s="249">
        <f t="shared" si="5"/>
        <v>0</v>
      </c>
      <c r="O9" s="249">
        <f t="shared" si="5"/>
        <v>0</v>
      </c>
      <c r="P9" s="7" t="s">
        <v>16</v>
      </c>
      <c r="Q9" s="92"/>
      <c r="R9" s="92"/>
      <c r="S9" s="92"/>
      <c r="T9" s="92"/>
      <c r="U9" s="92"/>
      <c r="V9" s="92"/>
    </row>
    <row r="10" spans="1:22" ht="24">
      <c r="A10" s="5">
        <f t="shared" si="1"/>
        <v>10</v>
      </c>
      <c r="B10" s="172" t="s">
        <v>11</v>
      </c>
      <c r="C10" s="643"/>
      <c r="D10" s="421"/>
      <c r="E10" s="270">
        <f>D10</f>
        <v>0</v>
      </c>
      <c r="F10" s="270">
        <f t="shared" si="5"/>
        <v>0</v>
      </c>
      <c r="G10" s="270">
        <f t="shared" si="5"/>
        <v>0</v>
      </c>
      <c r="H10" s="270">
        <f t="shared" si="5"/>
        <v>0</v>
      </c>
      <c r="I10" s="270">
        <f t="shared" si="5"/>
        <v>0</v>
      </c>
      <c r="J10" s="270">
        <f t="shared" si="5"/>
        <v>0</v>
      </c>
      <c r="K10" s="270">
        <f t="shared" si="5"/>
        <v>0</v>
      </c>
      <c r="L10" s="270">
        <f>ROUND(K10*1.31066,2)</f>
        <v>0</v>
      </c>
      <c r="M10" s="270">
        <f t="shared" si="5"/>
        <v>0</v>
      </c>
      <c r="N10" s="270">
        <f t="shared" si="5"/>
        <v>0</v>
      </c>
      <c r="O10" s="270">
        <f t="shared" si="5"/>
        <v>0</v>
      </c>
      <c r="P10" s="7"/>
      <c r="Q10" s="92"/>
      <c r="R10" s="92"/>
      <c r="S10" s="92"/>
      <c r="T10" s="92"/>
      <c r="U10" s="92"/>
      <c r="V10" s="92"/>
    </row>
    <row r="11" spans="1:22" ht="24">
      <c r="A11" s="5">
        <f t="shared" si="1"/>
        <v>11</v>
      </c>
      <c r="B11" s="176" t="s">
        <v>12</v>
      </c>
      <c r="C11" s="643"/>
      <c r="D11" s="421"/>
      <c r="E11" s="270">
        <f>D11</f>
        <v>0</v>
      </c>
      <c r="F11" s="270">
        <f t="shared" ref="F11:O12" si="6">E11</f>
        <v>0</v>
      </c>
      <c r="G11" s="270">
        <f t="shared" si="6"/>
        <v>0</v>
      </c>
      <c r="H11" s="270">
        <f t="shared" si="6"/>
        <v>0</v>
      </c>
      <c r="I11" s="270">
        <f t="shared" si="6"/>
        <v>0</v>
      </c>
      <c r="J11" s="270">
        <f t="shared" si="6"/>
        <v>0</v>
      </c>
      <c r="K11" s="270">
        <f t="shared" si="6"/>
        <v>0</v>
      </c>
      <c r="L11" s="270">
        <f>ROUND(K11*1.31066,2)</f>
        <v>0</v>
      </c>
      <c r="M11" s="270">
        <f t="shared" si="6"/>
        <v>0</v>
      </c>
      <c r="N11" s="270">
        <f t="shared" si="6"/>
        <v>0</v>
      </c>
      <c r="O11" s="270">
        <f t="shared" si="6"/>
        <v>0</v>
      </c>
      <c r="P11" s="7"/>
      <c r="Q11" s="92"/>
      <c r="R11" s="92"/>
      <c r="S11" s="92"/>
      <c r="T11" s="92"/>
      <c r="U11" s="92"/>
      <c r="V11" s="92"/>
    </row>
    <row r="12" spans="1:22" ht="24" customHeight="1">
      <c r="A12" s="5">
        <f t="shared" si="1"/>
        <v>12</v>
      </c>
      <c r="B12" s="177" t="s">
        <v>218</v>
      </c>
      <c r="C12" s="643"/>
      <c r="D12" s="606" t="s">
        <v>237</v>
      </c>
      <c r="E12" s="256" t="str">
        <f>D12</f>
        <v>NEJ</v>
      </c>
      <c r="F12" s="256" t="str">
        <f t="shared" si="6"/>
        <v>NEJ</v>
      </c>
      <c r="G12" s="256" t="str">
        <f t="shared" si="6"/>
        <v>NEJ</v>
      </c>
      <c r="H12" s="256" t="str">
        <f t="shared" si="6"/>
        <v>NEJ</v>
      </c>
      <c r="I12" s="256" t="str">
        <f t="shared" si="6"/>
        <v>NEJ</v>
      </c>
      <c r="J12" s="256" t="str">
        <f t="shared" si="6"/>
        <v>NEJ</v>
      </c>
      <c r="K12" s="256" t="str">
        <f t="shared" si="6"/>
        <v>NEJ</v>
      </c>
      <c r="L12" s="256" t="str">
        <f t="shared" si="6"/>
        <v>NEJ</v>
      </c>
      <c r="M12" s="256" t="str">
        <f t="shared" si="6"/>
        <v>NEJ</v>
      </c>
      <c r="N12" s="256" t="str">
        <f t="shared" si="6"/>
        <v>NEJ</v>
      </c>
      <c r="O12" s="256" t="str">
        <f t="shared" si="6"/>
        <v>NEJ</v>
      </c>
      <c r="P12" s="7" t="s">
        <v>8</v>
      </c>
      <c r="Q12" s="92"/>
      <c r="R12" s="92"/>
      <c r="S12" s="92"/>
      <c r="T12" s="92"/>
      <c r="U12" s="92"/>
      <c r="V12" s="92"/>
    </row>
    <row r="13" spans="1:22" ht="24" customHeight="1">
      <c r="A13" s="5">
        <f t="shared" si="1"/>
        <v>13</v>
      </c>
      <c r="B13" s="170" t="s">
        <v>40</v>
      </c>
      <c r="C13" s="643"/>
      <c r="D13" s="611"/>
      <c r="E13" s="271">
        <f>D13</f>
        <v>0</v>
      </c>
      <c r="F13" s="271">
        <f t="shared" ref="F13:O13" si="7">E13</f>
        <v>0</v>
      </c>
      <c r="G13" s="271">
        <f t="shared" si="7"/>
        <v>0</v>
      </c>
      <c r="H13" s="271">
        <f t="shared" si="7"/>
        <v>0</v>
      </c>
      <c r="I13" s="271">
        <f t="shared" si="7"/>
        <v>0</v>
      </c>
      <c r="J13" s="271">
        <f t="shared" si="7"/>
        <v>0</v>
      </c>
      <c r="K13" s="271">
        <f t="shared" si="7"/>
        <v>0</v>
      </c>
      <c r="L13" s="271">
        <f t="shared" si="7"/>
        <v>0</v>
      </c>
      <c r="M13" s="271">
        <f t="shared" si="7"/>
        <v>0</v>
      </c>
      <c r="N13" s="271">
        <f t="shared" si="7"/>
        <v>0</v>
      </c>
      <c r="O13" s="271">
        <f t="shared" si="7"/>
        <v>0</v>
      </c>
      <c r="P13" s="7" t="s">
        <v>7</v>
      </c>
      <c r="Q13" s="92"/>
      <c r="R13" s="92"/>
      <c r="S13" s="92"/>
      <c r="T13" s="92"/>
      <c r="U13" s="92"/>
      <c r="V13" s="92"/>
    </row>
    <row r="14" spans="1:22" ht="14" customHeight="1">
      <c r="A14" s="5">
        <f t="shared" si="1"/>
        <v>14</v>
      </c>
      <c r="B14" s="179" t="s">
        <v>231</v>
      </c>
      <c r="C14" s="643"/>
      <c r="D14" s="608">
        <v>5</v>
      </c>
      <c r="E14" s="152"/>
      <c r="F14" s="152"/>
      <c r="G14" s="152"/>
      <c r="H14" s="152"/>
      <c r="I14" s="152"/>
      <c r="J14" s="152"/>
      <c r="K14" s="152"/>
      <c r="L14" s="152"/>
      <c r="M14" s="152">
        <v>1.0000000000000001E-9</v>
      </c>
      <c r="N14" s="152"/>
      <c r="O14" s="152">
        <v>20</v>
      </c>
      <c r="P14" s="3" t="s">
        <v>232</v>
      </c>
      <c r="Q14" s="92"/>
      <c r="R14" s="92"/>
      <c r="S14" s="92"/>
      <c r="T14" s="92"/>
      <c r="U14" s="92"/>
      <c r="V14" s="92"/>
    </row>
    <row r="15" spans="1:22" ht="27" customHeight="1">
      <c r="A15" s="5">
        <f t="shared" si="1"/>
        <v>15</v>
      </c>
      <c r="B15" s="135" t="s">
        <v>240</v>
      </c>
      <c r="C15" s="643"/>
      <c r="D15" s="609">
        <v>0</v>
      </c>
      <c r="E15" s="153"/>
      <c r="F15" s="153"/>
      <c r="G15" s="153"/>
      <c r="H15" s="153"/>
      <c r="I15" s="153"/>
      <c r="J15" s="153"/>
      <c r="K15" s="153"/>
      <c r="L15" s="153"/>
      <c r="M15" s="153"/>
      <c r="N15" s="153"/>
      <c r="O15" s="153">
        <v>0</v>
      </c>
      <c r="P15" s="3" t="s">
        <v>278</v>
      </c>
      <c r="Q15" s="92"/>
      <c r="R15" s="92"/>
      <c r="S15" s="92"/>
      <c r="T15" s="92"/>
      <c r="U15" s="92"/>
      <c r="V15" s="92"/>
    </row>
    <row r="16" spans="1:22" ht="14" customHeight="1">
      <c r="A16" s="5">
        <f t="shared" si="1"/>
        <v>16</v>
      </c>
      <c r="B16" s="180" t="s">
        <v>369</v>
      </c>
      <c r="C16" s="643"/>
      <c r="D16" s="610">
        <v>0</v>
      </c>
      <c r="E16" s="258">
        <f t="shared" ref="E16:L16" si="8">D16</f>
        <v>0</v>
      </c>
      <c r="F16" s="258">
        <f t="shared" si="8"/>
        <v>0</v>
      </c>
      <c r="G16" s="258">
        <f t="shared" si="8"/>
        <v>0</v>
      </c>
      <c r="H16" s="258">
        <f t="shared" si="8"/>
        <v>0</v>
      </c>
      <c r="I16" s="258">
        <f t="shared" si="8"/>
        <v>0</v>
      </c>
      <c r="J16" s="258">
        <f t="shared" si="8"/>
        <v>0</v>
      </c>
      <c r="K16" s="258">
        <f t="shared" si="8"/>
        <v>0</v>
      </c>
      <c r="L16" s="258">
        <f t="shared" si="8"/>
        <v>0</v>
      </c>
      <c r="M16" s="166"/>
      <c r="N16" s="154"/>
      <c r="O16" s="154"/>
      <c r="P16" s="150" t="s">
        <v>270</v>
      </c>
      <c r="Q16" s="92"/>
      <c r="R16" s="92"/>
      <c r="S16" s="92"/>
      <c r="T16" s="92"/>
      <c r="U16" s="92"/>
      <c r="V16" s="92"/>
    </row>
    <row r="17" spans="1:22" ht="14" customHeight="1">
      <c r="A17" s="5">
        <f t="shared" si="1"/>
        <v>17</v>
      </c>
      <c r="B17" s="181" t="s">
        <v>537</v>
      </c>
      <c r="C17" s="643"/>
      <c r="D17" s="143" t="s">
        <v>221</v>
      </c>
      <c r="E17" s="155"/>
      <c r="F17" s="155"/>
      <c r="G17" s="155"/>
      <c r="H17" s="155"/>
      <c r="I17" s="155"/>
      <c r="J17" s="155"/>
      <c r="K17" s="155"/>
      <c r="L17" s="167"/>
      <c r="M17" s="420">
        <v>0</v>
      </c>
      <c r="N17" s="259">
        <f>M17</f>
        <v>0</v>
      </c>
      <c r="O17" s="259">
        <f>N17</f>
        <v>0</v>
      </c>
      <c r="P17" s="147" t="s">
        <v>269</v>
      </c>
      <c r="Q17" s="92"/>
      <c r="R17" s="92"/>
      <c r="S17" s="92"/>
      <c r="T17" s="92"/>
      <c r="U17" s="92"/>
      <c r="V17" s="92"/>
    </row>
    <row r="18" spans="1:22" ht="14" customHeight="1">
      <c r="A18" s="5">
        <f t="shared" si="1"/>
        <v>18</v>
      </c>
      <c r="B18" s="182" t="s">
        <v>211</v>
      </c>
      <c r="C18" s="643"/>
      <c r="D18" s="611"/>
      <c r="E18" s="129"/>
      <c r="F18" s="129"/>
      <c r="G18" s="129"/>
      <c r="H18" s="129"/>
      <c r="I18" s="129"/>
      <c r="J18" s="129"/>
      <c r="K18" s="129"/>
      <c r="L18" s="129"/>
      <c r="M18" s="129"/>
      <c r="N18" s="129"/>
      <c r="O18" s="129"/>
      <c r="P18" s="148" t="s">
        <v>264</v>
      </c>
      <c r="Q18" s="92"/>
      <c r="R18" s="92"/>
      <c r="S18" s="92"/>
      <c r="T18" s="92"/>
      <c r="U18" s="92"/>
      <c r="V18" s="92"/>
    </row>
    <row r="19" spans="1:22" ht="14" customHeight="1">
      <c r="A19" s="5">
        <f t="shared" si="1"/>
        <v>19</v>
      </c>
      <c r="B19" s="183" t="s">
        <v>212</v>
      </c>
      <c r="C19" s="643"/>
      <c r="D19" s="612"/>
      <c r="E19" s="260">
        <f>D19</f>
        <v>0</v>
      </c>
      <c r="F19" s="260">
        <f t="shared" ref="F19:O20" si="9">E19</f>
        <v>0</v>
      </c>
      <c r="G19" s="260">
        <f t="shared" si="9"/>
        <v>0</v>
      </c>
      <c r="H19" s="260">
        <f t="shared" si="9"/>
        <v>0</v>
      </c>
      <c r="I19" s="260">
        <f t="shared" si="9"/>
        <v>0</v>
      </c>
      <c r="J19" s="260">
        <f t="shared" si="9"/>
        <v>0</v>
      </c>
      <c r="K19" s="260">
        <f t="shared" si="9"/>
        <v>0</v>
      </c>
      <c r="L19" s="260">
        <f t="shared" si="9"/>
        <v>0</v>
      </c>
      <c r="M19" s="260">
        <f t="shared" si="9"/>
        <v>0</v>
      </c>
      <c r="N19" s="260">
        <f t="shared" si="9"/>
        <v>0</v>
      </c>
      <c r="O19" s="260">
        <f t="shared" si="9"/>
        <v>0</v>
      </c>
      <c r="P19" s="3" t="s">
        <v>23</v>
      </c>
      <c r="Q19" s="92"/>
      <c r="R19" s="92"/>
      <c r="S19" s="92"/>
      <c r="T19" s="92"/>
      <c r="U19" s="92"/>
      <c r="V19" s="92"/>
    </row>
    <row r="20" spans="1:22" ht="14" customHeight="1">
      <c r="A20" s="5">
        <f t="shared" si="1"/>
        <v>20</v>
      </c>
      <c r="B20" s="182" t="s">
        <v>213</v>
      </c>
      <c r="C20" s="643"/>
      <c r="D20" s="613"/>
      <c r="E20" s="261">
        <f>D20</f>
        <v>0</v>
      </c>
      <c r="F20" s="261">
        <f t="shared" si="9"/>
        <v>0</v>
      </c>
      <c r="G20" s="261">
        <f t="shared" si="9"/>
        <v>0</v>
      </c>
      <c r="H20" s="261">
        <f t="shared" si="9"/>
        <v>0</v>
      </c>
      <c r="I20" s="261">
        <f t="shared" si="9"/>
        <v>0</v>
      </c>
      <c r="J20" s="261">
        <f t="shared" si="9"/>
        <v>0</v>
      </c>
      <c r="K20" s="261">
        <f t="shared" si="9"/>
        <v>0</v>
      </c>
      <c r="L20" s="261">
        <f t="shared" si="9"/>
        <v>0</v>
      </c>
      <c r="M20" s="261">
        <f t="shared" si="9"/>
        <v>0</v>
      </c>
      <c r="N20" s="261">
        <f t="shared" si="9"/>
        <v>0</v>
      </c>
      <c r="O20" s="261">
        <f t="shared" si="9"/>
        <v>0</v>
      </c>
      <c r="P20" s="148"/>
      <c r="Q20" s="92"/>
      <c r="R20" s="92"/>
      <c r="S20" s="92"/>
      <c r="T20" s="92"/>
      <c r="U20" s="92"/>
      <c r="V20" s="92"/>
    </row>
    <row r="21" spans="1:22">
      <c r="A21" s="5">
        <f t="shared" si="1"/>
        <v>21</v>
      </c>
      <c r="B21" s="184" t="s">
        <v>154</v>
      </c>
      <c r="C21" s="643"/>
      <c r="D21" s="618"/>
      <c r="E21" s="235"/>
      <c r="F21" s="235"/>
      <c r="G21" s="235"/>
      <c r="H21" s="235"/>
      <c r="I21" s="235"/>
      <c r="J21" s="235"/>
      <c r="K21" s="235"/>
      <c r="L21" s="235"/>
      <c r="M21" s="235"/>
      <c r="N21" s="235"/>
      <c r="O21" s="235"/>
      <c r="P21" s="7" t="s">
        <v>289</v>
      </c>
      <c r="Q21" s="92"/>
      <c r="R21" s="92"/>
      <c r="S21" s="92"/>
      <c r="T21" s="92"/>
      <c r="U21" s="92"/>
      <c r="V21" s="92"/>
    </row>
    <row r="22" spans="1:22">
      <c r="A22" s="5">
        <f t="shared" si="1"/>
        <v>22</v>
      </c>
      <c r="B22" s="185" t="s">
        <v>164</v>
      </c>
      <c r="C22" s="643"/>
      <c r="D22" s="616"/>
      <c r="E22" s="237"/>
      <c r="F22" s="237"/>
      <c r="G22" s="237"/>
      <c r="H22" s="237"/>
      <c r="I22" s="237"/>
      <c r="J22" s="237"/>
      <c r="K22" s="237"/>
      <c r="L22" s="237"/>
      <c r="M22" s="237"/>
      <c r="N22" s="237"/>
      <c r="O22" s="237"/>
      <c r="P22" s="7" t="s">
        <v>289</v>
      </c>
      <c r="Q22" s="92"/>
      <c r="R22" s="92"/>
      <c r="S22" s="92"/>
      <c r="T22" s="92"/>
      <c r="U22" s="92"/>
      <c r="V22" s="92"/>
    </row>
    <row r="23" spans="1:22">
      <c r="A23" s="5">
        <f t="shared" si="1"/>
        <v>23</v>
      </c>
      <c r="B23" s="185" t="s">
        <v>155</v>
      </c>
      <c r="C23" s="643"/>
      <c r="D23" s="616"/>
      <c r="E23" s="237"/>
      <c r="F23" s="237"/>
      <c r="G23" s="237"/>
      <c r="H23" s="237"/>
      <c r="I23" s="237"/>
      <c r="J23" s="237"/>
      <c r="K23" s="237"/>
      <c r="L23" s="237"/>
      <c r="M23" s="237"/>
      <c r="N23" s="237"/>
      <c r="O23" s="237"/>
      <c r="P23" s="7" t="s">
        <v>289</v>
      </c>
      <c r="Q23" s="92"/>
      <c r="R23" s="92"/>
      <c r="S23" s="92"/>
      <c r="T23" s="92"/>
      <c r="U23" s="92"/>
      <c r="V23" s="92"/>
    </row>
    <row r="24" spans="1:22">
      <c r="A24" s="5">
        <f t="shared" si="1"/>
        <v>24</v>
      </c>
      <c r="B24" s="185" t="s">
        <v>140</v>
      </c>
      <c r="C24" s="643"/>
      <c r="D24" s="616"/>
      <c r="E24" s="237"/>
      <c r="F24" s="237"/>
      <c r="G24" s="237"/>
      <c r="H24" s="237"/>
      <c r="I24" s="237"/>
      <c r="J24" s="237"/>
      <c r="K24" s="237"/>
      <c r="L24" s="237"/>
      <c r="M24" s="237"/>
      <c r="N24" s="237"/>
      <c r="O24" s="237"/>
      <c r="P24" s="7" t="s">
        <v>289</v>
      </c>
      <c r="Q24" s="92"/>
      <c r="R24" s="92"/>
      <c r="S24" s="92"/>
      <c r="T24" s="92"/>
      <c r="U24" s="92"/>
      <c r="V24" s="92"/>
    </row>
    <row r="25" spans="1:22">
      <c r="A25" s="5">
        <f t="shared" si="1"/>
        <v>25</v>
      </c>
      <c r="B25" s="185" t="s">
        <v>158</v>
      </c>
      <c r="C25" s="643"/>
      <c r="D25" s="616"/>
      <c r="E25" s="237"/>
      <c r="F25" s="237"/>
      <c r="G25" s="237"/>
      <c r="H25" s="237"/>
      <c r="I25" s="237"/>
      <c r="J25" s="237"/>
      <c r="K25" s="237"/>
      <c r="L25" s="237"/>
      <c r="M25" s="237"/>
      <c r="N25" s="237"/>
      <c r="O25" s="237"/>
      <c r="P25" s="7" t="s">
        <v>77</v>
      </c>
      <c r="Q25" s="92"/>
      <c r="R25" s="92"/>
      <c r="S25" s="92"/>
      <c r="T25" s="92"/>
      <c r="U25" s="92"/>
      <c r="V25" s="92"/>
    </row>
    <row r="26" spans="1:22">
      <c r="A26" s="5">
        <f t="shared" si="1"/>
        <v>26</v>
      </c>
      <c r="B26" s="185" t="s">
        <v>159</v>
      </c>
      <c r="C26" s="643"/>
      <c r="D26" s="616"/>
      <c r="E26" s="237"/>
      <c r="F26" s="237"/>
      <c r="G26" s="237"/>
      <c r="H26" s="237"/>
      <c r="I26" s="237"/>
      <c r="J26" s="237"/>
      <c r="K26" s="237"/>
      <c r="L26" s="237"/>
      <c r="M26" s="237"/>
      <c r="N26" s="237"/>
      <c r="O26" s="237"/>
      <c r="P26" s="7" t="s">
        <v>518</v>
      </c>
      <c r="Q26" s="92"/>
      <c r="R26" s="92"/>
      <c r="S26" s="92"/>
      <c r="T26" s="92"/>
      <c r="U26" s="92"/>
      <c r="V26" s="92"/>
    </row>
    <row r="27" spans="1:22">
      <c r="A27" s="5">
        <f t="shared" si="1"/>
        <v>27</v>
      </c>
      <c r="B27" s="185" t="s">
        <v>219</v>
      </c>
      <c r="C27" s="643"/>
      <c r="D27" s="238" t="s">
        <v>536</v>
      </c>
      <c r="E27" s="239"/>
      <c r="F27" s="239"/>
      <c r="G27" s="239"/>
      <c r="H27" s="239"/>
      <c r="I27" s="239"/>
      <c r="J27" s="239"/>
      <c r="K27" s="239"/>
      <c r="L27" s="239"/>
      <c r="M27" s="262">
        <f>IF(M14&gt;0,ROUND(1.5%*P58,2),0)</f>
        <v>0</v>
      </c>
      <c r="N27" s="262">
        <f>IF(AND(N14&gt;0,M27=0),ROUND(1.5%*P58,2),0)</f>
        <v>0</v>
      </c>
      <c r="O27" s="262">
        <f>IF(AND(O14&gt;0,SUM(M27:N27)=0),ROUND(1.5%*P58,2),0)</f>
        <v>0</v>
      </c>
      <c r="P27" s="7" t="s">
        <v>262</v>
      </c>
      <c r="Q27" s="92"/>
      <c r="R27" s="92"/>
      <c r="S27" s="92"/>
      <c r="T27" s="92"/>
      <c r="U27" s="92"/>
      <c r="V27" s="92"/>
    </row>
    <row r="28" spans="1:22">
      <c r="A28" s="5">
        <f t="shared" si="1"/>
        <v>28</v>
      </c>
      <c r="B28" s="185" t="s">
        <v>145</v>
      </c>
      <c r="C28" s="643"/>
      <c r="D28" s="616"/>
      <c r="E28" s="237"/>
      <c r="F28" s="237"/>
      <c r="G28" s="237"/>
      <c r="H28" s="237"/>
      <c r="I28" s="237"/>
      <c r="J28" s="237"/>
      <c r="K28" s="237"/>
      <c r="L28" s="237"/>
      <c r="M28" s="237"/>
      <c r="N28" s="237"/>
      <c r="O28" s="237"/>
      <c r="P28" s="7" t="s">
        <v>13</v>
      </c>
      <c r="Q28" s="92"/>
      <c r="R28" s="92"/>
      <c r="S28" s="92"/>
      <c r="T28" s="92"/>
      <c r="U28" s="92"/>
      <c r="V28" s="92"/>
    </row>
    <row r="29" spans="1:22">
      <c r="A29" s="5">
        <f t="shared" si="1"/>
        <v>29</v>
      </c>
      <c r="B29" s="185" t="s">
        <v>41</v>
      </c>
      <c r="C29" s="643"/>
      <c r="D29" s="616"/>
      <c r="E29" s="237"/>
      <c r="F29" s="237"/>
      <c r="G29" s="237"/>
      <c r="H29" s="237"/>
      <c r="I29" s="237"/>
      <c r="J29" s="237"/>
      <c r="K29" s="237"/>
      <c r="L29" s="237"/>
      <c r="M29" s="237"/>
      <c r="N29" s="237"/>
      <c r="O29" s="237"/>
      <c r="P29" s="7" t="s">
        <v>13</v>
      </c>
      <c r="Q29" s="92"/>
      <c r="R29" s="92"/>
      <c r="S29" s="92"/>
      <c r="T29" s="92"/>
      <c r="U29" s="92"/>
      <c r="V29" s="92"/>
    </row>
    <row r="30" spans="1:22">
      <c r="A30" s="5">
        <f t="shared" si="1"/>
        <v>30</v>
      </c>
      <c r="B30" s="186"/>
      <c r="C30" s="643"/>
      <c r="D30" s="616"/>
      <c r="E30" s="237"/>
      <c r="F30" s="237"/>
      <c r="G30" s="237"/>
      <c r="H30" s="237"/>
      <c r="I30" s="237"/>
      <c r="J30" s="237"/>
      <c r="K30" s="237"/>
      <c r="L30" s="237"/>
      <c r="M30" s="237"/>
      <c r="N30" s="237"/>
      <c r="O30" s="237"/>
      <c r="P30" s="89"/>
      <c r="Q30" s="92"/>
      <c r="R30" s="92"/>
      <c r="S30" s="92"/>
      <c r="T30" s="92"/>
      <c r="U30" s="92"/>
      <c r="V30" s="92"/>
    </row>
    <row r="31" spans="1:22">
      <c r="A31" s="5">
        <f t="shared" si="1"/>
        <v>31</v>
      </c>
      <c r="B31" s="186"/>
      <c r="C31" s="643"/>
      <c r="D31" s="616"/>
      <c r="E31" s="237"/>
      <c r="F31" s="237"/>
      <c r="G31" s="237"/>
      <c r="H31" s="237"/>
      <c r="I31" s="237"/>
      <c r="J31" s="237"/>
      <c r="K31" s="237"/>
      <c r="L31" s="237"/>
      <c r="M31" s="237"/>
      <c r="N31" s="237"/>
      <c r="O31" s="237"/>
      <c r="P31" s="89"/>
      <c r="Q31" s="92"/>
      <c r="R31" s="92"/>
      <c r="S31" s="92"/>
      <c r="T31" s="92"/>
      <c r="U31" s="92"/>
      <c r="V31" s="92"/>
    </row>
    <row r="32" spans="1:22">
      <c r="A32" s="5">
        <f t="shared" si="1"/>
        <v>32</v>
      </c>
      <c r="B32" s="187"/>
      <c r="C32" s="644"/>
      <c r="D32" s="617"/>
      <c r="E32" s="241"/>
      <c r="F32" s="241"/>
      <c r="G32" s="241"/>
      <c r="H32" s="241"/>
      <c r="I32" s="241"/>
      <c r="J32" s="241"/>
      <c r="K32" s="241"/>
      <c r="L32" s="241"/>
      <c r="M32" s="241"/>
      <c r="N32" s="241"/>
      <c r="O32" s="241"/>
      <c r="P32" s="149"/>
      <c r="Q32" s="92"/>
      <c r="R32" s="92"/>
      <c r="S32" s="92"/>
      <c r="T32" s="92"/>
      <c r="U32" s="92"/>
      <c r="V32" s="92"/>
    </row>
    <row r="33" spans="1:22" ht="32" customHeight="1">
      <c r="A33" s="128">
        <f t="shared" si="1"/>
        <v>33</v>
      </c>
      <c r="B33" s="188" t="s">
        <v>227</v>
      </c>
      <c r="C33" s="78" t="str">
        <f>C2</f>
        <v>jan-jul</v>
      </c>
      <c r="D33" s="214" t="str">
        <f>D2</f>
        <v>AUG 14</v>
      </c>
      <c r="E33" s="78" t="str">
        <f t="shared" ref="E33:O33" si="10">E2</f>
        <v>SEP14</v>
      </c>
      <c r="F33" s="78" t="str">
        <f t="shared" si="10"/>
        <v>OKT 14</v>
      </c>
      <c r="G33" s="78" t="str">
        <f t="shared" si="10"/>
        <v>NOV 14</v>
      </c>
      <c r="H33" s="78" t="str">
        <f t="shared" si="10"/>
        <v>DEC 14</v>
      </c>
      <c r="I33" s="78" t="str">
        <f t="shared" si="10"/>
        <v>JAN 15</v>
      </c>
      <c r="J33" s="78" t="str">
        <f t="shared" si="10"/>
        <v>FEB 15</v>
      </c>
      <c r="K33" s="78" t="str">
        <f t="shared" si="10"/>
        <v>MAR 15</v>
      </c>
      <c r="L33" s="78" t="str">
        <f t="shared" si="10"/>
        <v>APR 15</v>
      </c>
      <c r="M33" s="78" t="str">
        <f t="shared" si="10"/>
        <v>MAJ15</v>
      </c>
      <c r="N33" s="78" t="str">
        <f t="shared" si="10"/>
        <v>JUN 15</v>
      </c>
      <c r="O33" s="78" t="str">
        <f t="shared" si="10"/>
        <v>JUL 15</v>
      </c>
      <c r="P33" s="83" t="s">
        <v>122</v>
      </c>
      <c r="Q33" s="92"/>
      <c r="R33" s="92"/>
      <c r="S33" s="92"/>
      <c r="T33" s="92"/>
      <c r="U33" s="92"/>
      <c r="V33" s="92"/>
    </row>
    <row r="34" spans="1:22">
      <c r="A34" s="128">
        <f t="shared" si="1"/>
        <v>34</v>
      </c>
      <c r="B34" s="162" t="s">
        <v>0</v>
      </c>
      <c r="C34" s="228"/>
      <c r="D34" s="215">
        <f>ROUND(IF(D9&gt;0,D4*D7/12,0)*D9*D3,2)</f>
        <v>0</v>
      </c>
      <c r="E34" s="215">
        <f>ROUND(IF(E9&gt;0,E4*E7/12,0)*E9*E3,2)</f>
        <v>0</v>
      </c>
      <c r="F34" s="215">
        <f>ROUND(IF(F9&gt;0,F4*F7/12,0)*F9*F3,2)</f>
        <v>0</v>
      </c>
      <c r="G34" s="215">
        <f>ROUND(IF(G9&gt;0,G4*G7/12,0)*G9*G3,2)</f>
        <v>0</v>
      </c>
      <c r="H34" s="215">
        <f>ROUND(IF(H9&gt;0,H4*H7/12,0)*H9*H3,2)</f>
        <v>0</v>
      </c>
      <c r="I34" s="215">
        <f t="shared" ref="I34:O34" si="11">ROUND(IF(I9&gt;0,I4*I7/12,0)*I9*I3,2)</f>
        <v>0</v>
      </c>
      <c r="J34" s="215">
        <f t="shared" si="11"/>
        <v>0</v>
      </c>
      <c r="K34" s="215">
        <f t="shared" si="11"/>
        <v>0</v>
      </c>
      <c r="L34" s="215">
        <f t="shared" si="11"/>
        <v>0</v>
      </c>
      <c r="M34" s="215">
        <f t="shared" si="11"/>
        <v>0</v>
      </c>
      <c r="N34" s="215">
        <f t="shared" si="11"/>
        <v>0</v>
      </c>
      <c r="O34" s="215">
        <f t="shared" si="11"/>
        <v>0</v>
      </c>
      <c r="P34" s="122">
        <f t="shared" ref="P34:P51" si="12">SUM(D34:O34)</f>
        <v>0</v>
      </c>
      <c r="Q34" s="92"/>
      <c r="R34" s="92"/>
      <c r="S34" s="92"/>
      <c r="T34" s="92"/>
      <c r="U34" s="92"/>
      <c r="V34" s="92"/>
    </row>
    <row r="35" spans="1:22">
      <c r="A35" s="128">
        <f t="shared" si="1"/>
        <v>35</v>
      </c>
      <c r="B35" s="162" t="s">
        <v>9</v>
      </c>
      <c r="C35" s="228"/>
      <c r="D35" s="215">
        <f>ROUND(IF(D9&gt;0,D5*D7/12,0)*D9*D3,2)</f>
        <v>0</v>
      </c>
      <c r="E35" s="215">
        <f>ROUND(IF(E9&gt;0,E5*E7/12,0)*E9*E3,2)</f>
        <v>0</v>
      </c>
      <c r="F35" s="215">
        <f>ROUND(IF(F9&gt;0,F5*F7/12,0)*F9*F3,2)</f>
        <v>0</v>
      </c>
      <c r="G35" s="215">
        <f>ROUND(IF(G9&gt;0,G5*G7/12,0)*G9*G3,2)</f>
        <v>0</v>
      </c>
      <c r="H35" s="215">
        <f>ROUND(IF(H9&gt;0,H5*H7/12,0)*H9*H3,2)</f>
        <v>0</v>
      </c>
      <c r="I35" s="215">
        <f t="shared" ref="I35:O35" si="13">ROUND(IF(I9&gt;0,I5*I7/12,0)*I9*I3,2)</f>
        <v>0</v>
      </c>
      <c r="J35" s="215">
        <f t="shared" si="13"/>
        <v>0</v>
      </c>
      <c r="K35" s="215">
        <f t="shared" si="13"/>
        <v>0</v>
      </c>
      <c r="L35" s="215">
        <f t="shared" si="13"/>
        <v>0</v>
      </c>
      <c r="M35" s="215">
        <f t="shared" si="13"/>
        <v>0</v>
      </c>
      <c r="N35" s="215">
        <f t="shared" si="13"/>
        <v>0</v>
      </c>
      <c r="O35" s="215">
        <f t="shared" si="13"/>
        <v>0</v>
      </c>
      <c r="P35" s="111">
        <f t="shared" si="12"/>
        <v>0</v>
      </c>
      <c r="Q35" s="92"/>
      <c r="R35" s="92"/>
      <c r="S35" s="92"/>
      <c r="T35" s="92"/>
      <c r="U35" s="92"/>
      <c r="V35" s="92"/>
    </row>
    <row r="36" spans="1:22">
      <c r="A36" s="128">
        <f t="shared" si="1"/>
        <v>36</v>
      </c>
      <c r="B36" s="163" t="s">
        <v>1</v>
      </c>
      <c r="C36" s="228"/>
      <c r="D36" s="216">
        <f>ROUND(D10*D$7*D$3/12,2)</f>
        <v>0</v>
      </c>
      <c r="E36" s="216">
        <f>ROUND(E10*E$7*E$3/12,2)</f>
        <v>0</v>
      </c>
      <c r="F36" s="216">
        <f>ROUND(F10*F$7*F$3/12,2)</f>
        <v>0</v>
      </c>
      <c r="G36" s="216">
        <f>ROUND(G10*G$7*G$3/12,2)</f>
        <v>0</v>
      </c>
      <c r="H36" s="216">
        <f>ROUND(H10*H$7*H$3/12,2)</f>
        <v>0</v>
      </c>
      <c r="I36" s="216">
        <f t="shared" ref="I36:O36" si="14">ROUND(I10*I$7*I$3/12,2)</f>
        <v>0</v>
      </c>
      <c r="J36" s="216">
        <f t="shared" si="14"/>
        <v>0</v>
      </c>
      <c r="K36" s="216">
        <f t="shared" si="14"/>
        <v>0</v>
      </c>
      <c r="L36" s="216">
        <f t="shared" si="14"/>
        <v>0</v>
      </c>
      <c r="M36" s="216">
        <f t="shared" si="14"/>
        <v>0</v>
      </c>
      <c r="N36" s="216">
        <f t="shared" si="14"/>
        <v>0</v>
      </c>
      <c r="O36" s="216">
        <f t="shared" si="14"/>
        <v>0</v>
      </c>
      <c r="P36" s="111">
        <f t="shared" si="12"/>
        <v>0</v>
      </c>
      <c r="Q36" s="92"/>
      <c r="R36" s="92"/>
      <c r="S36" s="92"/>
      <c r="T36" s="92"/>
      <c r="U36" s="92"/>
      <c r="V36" s="92"/>
    </row>
    <row r="37" spans="1:22">
      <c r="A37" s="128">
        <f t="shared" si="1"/>
        <v>37</v>
      </c>
      <c r="B37" s="163" t="s">
        <v>2</v>
      </c>
      <c r="C37" s="228"/>
      <c r="D37" s="216">
        <f>ROUND(D11*D$7*D$3*D$9/12,2)</f>
        <v>0</v>
      </c>
      <c r="E37" s="216">
        <f>ROUND(E11*E$7*E$3*E$9/12,2)</f>
        <v>0</v>
      </c>
      <c r="F37" s="216">
        <f>ROUND(F11*F$7*F$3*F$9/12,2)</f>
        <v>0</v>
      </c>
      <c r="G37" s="216">
        <f>ROUND(G11*G$7*G$3*G$9/12,2)</f>
        <v>0</v>
      </c>
      <c r="H37" s="216">
        <f>ROUND(H11*H$7*H$3*H$9/12,2)</f>
        <v>0</v>
      </c>
      <c r="I37" s="216">
        <f t="shared" ref="I37:O37" si="15">ROUND(I11*I$7*I$3*I$9/12,2)</f>
        <v>0</v>
      </c>
      <c r="J37" s="216">
        <f t="shared" si="15"/>
        <v>0</v>
      </c>
      <c r="K37" s="216">
        <f t="shared" si="15"/>
        <v>0</v>
      </c>
      <c r="L37" s="216">
        <f t="shared" si="15"/>
        <v>0</v>
      </c>
      <c r="M37" s="216">
        <f t="shared" si="15"/>
        <v>0</v>
      </c>
      <c r="N37" s="216">
        <f t="shared" si="15"/>
        <v>0</v>
      </c>
      <c r="O37" s="216">
        <f t="shared" si="15"/>
        <v>0</v>
      </c>
      <c r="P37" s="111">
        <f t="shared" si="12"/>
        <v>0</v>
      </c>
      <c r="Q37" s="92"/>
      <c r="R37" s="92"/>
      <c r="S37" s="92"/>
      <c r="T37" s="92"/>
      <c r="U37" s="92"/>
      <c r="V37" s="92"/>
    </row>
    <row r="38" spans="1:22">
      <c r="A38" s="23">
        <f t="shared" ref="A38:A51" si="16">A37+1</f>
        <v>38</v>
      </c>
      <c r="B38" s="163" t="s">
        <v>172</v>
      </c>
      <c r="C38" s="228"/>
      <c r="D38" s="216">
        <f>IF(D9&gt;0,108.35*D3,0)</f>
        <v>0</v>
      </c>
      <c r="E38" s="216">
        <f t="shared" ref="E38:O38" si="17">IF(E9&gt;0,108.35*E3,0)</f>
        <v>0</v>
      </c>
      <c r="F38" s="216">
        <f t="shared" si="17"/>
        <v>0</v>
      </c>
      <c r="G38" s="216">
        <f t="shared" si="17"/>
        <v>0</v>
      </c>
      <c r="H38" s="216">
        <f t="shared" si="17"/>
        <v>0</v>
      </c>
      <c r="I38" s="216">
        <f t="shared" si="17"/>
        <v>0</v>
      </c>
      <c r="J38" s="216">
        <f t="shared" si="17"/>
        <v>0</v>
      </c>
      <c r="K38" s="216">
        <f t="shared" si="17"/>
        <v>0</v>
      </c>
      <c r="L38" s="216">
        <f t="shared" si="17"/>
        <v>0</v>
      </c>
      <c r="M38" s="216">
        <f t="shared" si="17"/>
        <v>0</v>
      </c>
      <c r="N38" s="216">
        <f t="shared" si="17"/>
        <v>0</v>
      </c>
      <c r="O38" s="216">
        <f t="shared" si="17"/>
        <v>0</v>
      </c>
      <c r="P38" s="111">
        <f t="shared" si="12"/>
        <v>0</v>
      </c>
      <c r="Q38" s="92"/>
      <c r="R38" s="92"/>
      <c r="S38" s="92"/>
      <c r="T38" s="92"/>
      <c r="U38" s="92"/>
      <c r="V38" s="92"/>
    </row>
    <row r="39" spans="1:22">
      <c r="A39" s="23">
        <f t="shared" si="16"/>
        <v>39</v>
      </c>
      <c r="B39" s="163" t="s">
        <v>266</v>
      </c>
      <c r="C39" s="228"/>
      <c r="D39" s="216">
        <f t="shared" ref="D39:O39" si="18">-(MAX(0,MIN(D14,D15))+D18)*4.62%*SUM(D34:D38)</f>
        <v>0</v>
      </c>
      <c r="E39" s="216">
        <f t="shared" si="18"/>
        <v>0</v>
      </c>
      <c r="F39" s="216">
        <f t="shared" si="18"/>
        <v>0</v>
      </c>
      <c r="G39" s="216">
        <f t="shared" si="18"/>
        <v>0</v>
      </c>
      <c r="H39" s="216">
        <f t="shared" si="18"/>
        <v>0</v>
      </c>
      <c r="I39" s="216">
        <f t="shared" si="18"/>
        <v>0</v>
      </c>
      <c r="J39" s="216">
        <f t="shared" si="18"/>
        <v>0</v>
      </c>
      <c r="K39" s="216">
        <f t="shared" si="18"/>
        <v>0</v>
      </c>
      <c r="L39" s="216">
        <f t="shared" si="18"/>
        <v>0</v>
      </c>
      <c r="M39" s="216">
        <f t="shared" si="18"/>
        <v>0</v>
      </c>
      <c r="N39" s="216">
        <f t="shared" si="18"/>
        <v>0</v>
      </c>
      <c r="O39" s="216">
        <f t="shared" si="18"/>
        <v>0</v>
      </c>
      <c r="P39" s="111">
        <f t="shared" si="12"/>
        <v>0</v>
      </c>
      <c r="Q39" s="92"/>
      <c r="R39" s="92"/>
      <c r="S39" s="92"/>
      <c r="T39" s="92"/>
      <c r="U39" s="92"/>
      <c r="V39" s="92"/>
    </row>
    <row r="40" spans="1:22">
      <c r="A40" s="23">
        <f t="shared" si="16"/>
        <v>40</v>
      </c>
      <c r="B40" s="163" t="s">
        <v>205</v>
      </c>
      <c r="C40" s="228"/>
      <c r="D40" s="216">
        <f>(D14-D15)*4.62%*(D16-D9)*(D3=1)*IF(D9&gt;0,(D34+D35+D37)/D9,0)*(D16&gt;0)</f>
        <v>0</v>
      </c>
      <c r="E40" s="216">
        <f>(E14-E15)*4.62%*(E16-E9)*(E3=1)*IF(E9&gt;0,(E34+E35+E37)/E9,0)*(E16&gt;0)</f>
        <v>0</v>
      </c>
      <c r="F40" s="216">
        <f>(F14-F15)*4.62%*(F16-F9)*(F3=1)*IF(F9&gt;0,(F34+F35+F37)/F9,0)*(F16&gt;0)</f>
        <v>0</v>
      </c>
      <c r="G40" s="216">
        <f>(G14-G15)*4.62%*(G16-G9)*(G3=1)*IF(G9&gt;0,(G34+G35+G37)/G9,0)*(G16&gt;0)</f>
        <v>0</v>
      </c>
      <c r="H40" s="216">
        <f>(H14-H15)*4.62%*(H16-H9)*(H3=1)*IF(H9&gt;0,(H34+H35+H37)/H9,0)*(H16&gt;0)</f>
        <v>0</v>
      </c>
      <c r="I40" s="216">
        <f t="shared" ref="I40:O40" si="19">(I14-I15)*4.62%*(I16-I9)*(I3=1)*IF(I9&gt;0,(I34+I35+I37)/I9,0)*(I16&gt;0)</f>
        <v>0</v>
      </c>
      <c r="J40" s="216">
        <f t="shared" si="19"/>
        <v>0</v>
      </c>
      <c r="K40" s="216">
        <f t="shared" si="19"/>
        <v>0</v>
      </c>
      <c r="L40" s="216">
        <f t="shared" si="19"/>
        <v>0</v>
      </c>
      <c r="M40" s="216">
        <f t="shared" si="19"/>
        <v>0</v>
      </c>
      <c r="N40" s="216">
        <f t="shared" si="19"/>
        <v>0</v>
      </c>
      <c r="O40" s="216">
        <f t="shared" si="19"/>
        <v>0</v>
      </c>
      <c r="P40" s="111">
        <f t="shared" si="12"/>
        <v>0</v>
      </c>
      <c r="Q40" s="92"/>
      <c r="R40" s="92"/>
      <c r="S40" s="92"/>
      <c r="T40" s="92"/>
      <c r="U40" s="92"/>
      <c r="V40" s="92"/>
    </row>
    <row r="41" spans="1:22">
      <c r="A41" s="23">
        <f t="shared" si="16"/>
        <v>41</v>
      </c>
      <c r="B41" s="163" t="s">
        <v>192</v>
      </c>
      <c r="C41" s="228"/>
      <c r="D41" s="216">
        <f>SUM(D25:D32)+MAX(D24-8000,0)</f>
        <v>0</v>
      </c>
      <c r="E41" s="216">
        <f>SUM(E25:E32)+MAX(E24-8000,0)</f>
        <v>0</v>
      </c>
      <c r="F41" s="216">
        <f>SUM(F25:F32)+MAX(F24-8000,0)</f>
        <v>0</v>
      </c>
      <c r="G41" s="216">
        <f>SUM(G25:G32)+MAX(G24-8000,0)</f>
        <v>0</v>
      </c>
      <c r="H41" s="216">
        <f>SUM(H25:H32)+MAX(H24-8000,0)</f>
        <v>0</v>
      </c>
      <c r="I41" s="216">
        <f t="shared" ref="I41:O41" si="20">SUM(I25:I32)+MAX(I24-8000,0)</f>
        <v>0</v>
      </c>
      <c r="J41" s="216">
        <f t="shared" si="20"/>
        <v>0</v>
      </c>
      <c r="K41" s="216">
        <f t="shared" si="20"/>
        <v>0</v>
      </c>
      <c r="L41" s="216">
        <f t="shared" si="20"/>
        <v>0</v>
      </c>
      <c r="M41" s="216">
        <f t="shared" si="20"/>
        <v>0</v>
      </c>
      <c r="N41" s="216">
        <f t="shared" si="20"/>
        <v>0</v>
      </c>
      <c r="O41" s="216">
        <f t="shared" si="20"/>
        <v>0</v>
      </c>
      <c r="P41" s="111">
        <f t="shared" si="12"/>
        <v>0</v>
      </c>
      <c r="Q41" s="92"/>
      <c r="R41" s="92"/>
      <c r="S41" s="92"/>
      <c r="T41" s="92"/>
      <c r="U41" s="92"/>
      <c r="V41" s="92"/>
    </row>
    <row r="42" spans="1:22">
      <c r="A42" s="23">
        <f t="shared" si="16"/>
        <v>42</v>
      </c>
      <c r="B42" s="189" t="s">
        <v>22</v>
      </c>
      <c r="C42" s="228"/>
      <c r="D42" s="217">
        <f>SUM(D21:D23)+IF(D24&gt;0,MIN(D24,8000),0)</f>
        <v>0</v>
      </c>
      <c r="E42" s="217">
        <f>SUM(E21:E23)+IF(E24&gt;0,MIN(E24,8000),0)</f>
        <v>0</v>
      </c>
      <c r="F42" s="217">
        <f>SUM(F21:F23)+IF(F24&gt;0,MIN(F24,8000),0)</f>
        <v>0</v>
      </c>
      <c r="G42" s="217">
        <f>SUM(G21:G23)+IF(G24&gt;0,MIN(G24,8000),0)</f>
        <v>0</v>
      </c>
      <c r="H42" s="217">
        <f>SUM(H21:H23)+IF(H24&gt;0,MIN(H24,8000),0)</f>
        <v>0</v>
      </c>
      <c r="I42" s="217">
        <f t="shared" ref="I42:O42" si="21">SUM(I21:I23)+IF(I24&gt;0,MIN(I24,8000),0)</f>
        <v>0</v>
      </c>
      <c r="J42" s="217">
        <f t="shared" si="21"/>
        <v>0</v>
      </c>
      <c r="K42" s="217">
        <f t="shared" si="21"/>
        <v>0</v>
      </c>
      <c r="L42" s="217">
        <f t="shared" si="21"/>
        <v>0</v>
      </c>
      <c r="M42" s="217">
        <f t="shared" si="21"/>
        <v>0</v>
      </c>
      <c r="N42" s="217">
        <f t="shared" si="21"/>
        <v>0</v>
      </c>
      <c r="O42" s="217">
        <f t="shared" si="21"/>
        <v>0</v>
      </c>
      <c r="P42" s="112">
        <f t="shared" si="12"/>
        <v>0</v>
      </c>
      <c r="Q42" s="92"/>
      <c r="R42" s="92"/>
      <c r="S42" s="92"/>
      <c r="T42" s="92"/>
      <c r="U42" s="92"/>
      <c r="V42" s="92"/>
    </row>
    <row r="43" spans="1:22">
      <c r="A43" s="23">
        <f t="shared" si="16"/>
        <v>43</v>
      </c>
      <c r="B43" s="77" t="s">
        <v>114</v>
      </c>
      <c r="C43" s="229"/>
      <c r="D43" s="218">
        <f t="shared" ref="D43:O43" si="22">SUM(D34:D42)</f>
        <v>0</v>
      </c>
      <c r="E43" s="218">
        <f t="shared" si="22"/>
        <v>0</v>
      </c>
      <c r="F43" s="218">
        <f t="shared" si="22"/>
        <v>0</v>
      </c>
      <c r="G43" s="218">
        <f t="shared" si="22"/>
        <v>0</v>
      </c>
      <c r="H43" s="218">
        <f t="shared" si="22"/>
        <v>0</v>
      </c>
      <c r="I43" s="218">
        <f t="shared" si="22"/>
        <v>0</v>
      </c>
      <c r="J43" s="218">
        <f t="shared" si="22"/>
        <v>0</v>
      </c>
      <c r="K43" s="218">
        <f t="shared" si="22"/>
        <v>0</v>
      </c>
      <c r="L43" s="218">
        <f t="shared" si="22"/>
        <v>0</v>
      </c>
      <c r="M43" s="218">
        <f t="shared" si="22"/>
        <v>0</v>
      </c>
      <c r="N43" s="218">
        <f t="shared" si="22"/>
        <v>0</v>
      </c>
      <c r="O43" s="218">
        <f t="shared" si="22"/>
        <v>0</v>
      </c>
      <c r="P43" s="84">
        <f t="shared" si="12"/>
        <v>0</v>
      </c>
      <c r="Q43" s="92"/>
      <c r="R43" s="92"/>
      <c r="S43" s="92"/>
      <c r="T43" s="92"/>
      <c r="U43" s="92"/>
      <c r="V43" s="92"/>
    </row>
    <row r="44" spans="1:22">
      <c r="A44" s="23">
        <f t="shared" si="16"/>
        <v>44</v>
      </c>
      <c r="B44" s="162" t="s">
        <v>10</v>
      </c>
      <c r="C44" s="228"/>
      <c r="D44" s="215">
        <f t="shared" ref="D44:H45" si="23">ROUND(D34*17.3%/3,2)*(D$6="L")</f>
        <v>0</v>
      </c>
      <c r="E44" s="215">
        <f t="shared" si="23"/>
        <v>0</v>
      </c>
      <c r="F44" s="215">
        <f t="shared" si="23"/>
        <v>0</v>
      </c>
      <c r="G44" s="215">
        <f t="shared" si="23"/>
        <v>0</v>
      </c>
      <c r="H44" s="215">
        <f t="shared" si="23"/>
        <v>0</v>
      </c>
      <c r="I44" s="215">
        <f t="shared" ref="I44:O44" si="24">ROUND(I34*17.3%/3,2)*(I$6="L")</f>
        <v>0</v>
      </c>
      <c r="J44" s="215">
        <f t="shared" si="24"/>
        <v>0</v>
      </c>
      <c r="K44" s="215">
        <f t="shared" si="24"/>
        <v>0</v>
      </c>
      <c r="L44" s="215">
        <f t="shared" si="24"/>
        <v>0</v>
      </c>
      <c r="M44" s="215">
        <f t="shared" si="24"/>
        <v>0</v>
      </c>
      <c r="N44" s="215">
        <f t="shared" si="24"/>
        <v>0</v>
      </c>
      <c r="O44" s="215">
        <f t="shared" si="24"/>
        <v>0</v>
      </c>
      <c r="P44" s="109">
        <f t="shared" si="12"/>
        <v>0</v>
      </c>
      <c r="Q44" s="92"/>
      <c r="R44" s="92"/>
      <c r="S44" s="92"/>
      <c r="T44" s="92"/>
      <c r="U44" s="92"/>
      <c r="V44" s="92"/>
    </row>
    <row r="45" spans="1:22">
      <c r="A45" s="23">
        <f t="shared" si="16"/>
        <v>45</v>
      </c>
      <c r="B45" s="162" t="s">
        <v>274</v>
      </c>
      <c r="C45" s="228"/>
      <c r="D45" s="215">
        <f t="shared" si="23"/>
        <v>0</v>
      </c>
      <c r="E45" s="215">
        <f t="shared" si="23"/>
        <v>0</v>
      </c>
      <c r="F45" s="215">
        <f t="shared" si="23"/>
        <v>0</v>
      </c>
      <c r="G45" s="215">
        <f t="shared" si="23"/>
        <v>0</v>
      </c>
      <c r="H45" s="215">
        <f t="shared" si="23"/>
        <v>0</v>
      </c>
      <c r="I45" s="215">
        <f t="shared" ref="I45:O45" si="25">ROUND(I35*17.3%/3,2)*(I$6="L")</f>
        <v>0</v>
      </c>
      <c r="J45" s="215">
        <f t="shared" si="25"/>
        <v>0</v>
      </c>
      <c r="K45" s="215">
        <f t="shared" si="25"/>
        <v>0</v>
      </c>
      <c r="L45" s="215">
        <f t="shared" si="25"/>
        <v>0</v>
      </c>
      <c r="M45" s="215">
        <f t="shared" si="25"/>
        <v>0</v>
      </c>
      <c r="N45" s="215">
        <f t="shared" si="25"/>
        <v>0</v>
      </c>
      <c r="O45" s="215">
        <f t="shared" si="25"/>
        <v>0</v>
      </c>
      <c r="P45" s="111">
        <f t="shared" si="12"/>
        <v>0</v>
      </c>
      <c r="Q45" s="92"/>
      <c r="R45" s="92"/>
      <c r="S45" s="92"/>
      <c r="T45" s="92"/>
      <c r="U45" s="92"/>
      <c r="V45" s="92"/>
    </row>
    <row r="46" spans="1:22">
      <c r="A46" s="23">
        <f t="shared" si="16"/>
        <v>46</v>
      </c>
      <c r="B46" s="163" t="s">
        <v>3</v>
      </c>
      <c r="C46" s="228"/>
      <c r="D46" s="215">
        <f t="shared" ref="D46:H47" si="26">ROUND(D36*17.3%/3,2)*(D$6="L")</f>
        <v>0</v>
      </c>
      <c r="E46" s="215">
        <f t="shared" si="26"/>
        <v>0</v>
      </c>
      <c r="F46" s="215">
        <f t="shared" si="26"/>
        <v>0</v>
      </c>
      <c r="G46" s="215">
        <f t="shared" si="26"/>
        <v>0</v>
      </c>
      <c r="H46" s="215">
        <f t="shared" si="26"/>
        <v>0</v>
      </c>
      <c r="I46" s="215">
        <f t="shared" ref="I46:O46" si="27">ROUND(I36*17.3%/3,2)*(I$6="L")</f>
        <v>0</v>
      </c>
      <c r="J46" s="215">
        <f t="shared" si="27"/>
        <v>0</v>
      </c>
      <c r="K46" s="215">
        <f t="shared" si="27"/>
        <v>0</v>
      </c>
      <c r="L46" s="215">
        <f t="shared" si="27"/>
        <v>0</v>
      </c>
      <c r="M46" s="215">
        <f t="shared" si="27"/>
        <v>0</v>
      </c>
      <c r="N46" s="215">
        <f t="shared" si="27"/>
        <v>0</v>
      </c>
      <c r="O46" s="215">
        <f t="shared" si="27"/>
        <v>0</v>
      </c>
      <c r="P46" s="111">
        <f t="shared" si="12"/>
        <v>0</v>
      </c>
      <c r="Q46" s="92"/>
      <c r="R46" s="92"/>
      <c r="S46" s="92"/>
      <c r="T46" s="92"/>
      <c r="U46" s="92"/>
      <c r="V46" s="92"/>
    </row>
    <row r="47" spans="1:22">
      <c r="A47" s="23">
        <f t="shared" si="16"/>
        <v>47</v>
      </c>
      <c r="B47" s="163" t="s">
        <v>4</v>
      </c>
      <c r="C47" s="228"/>
      <c r="D47" s="215">
        <f t="shared" si="26"/>
        <v>0</v>
      </c>
      <c r="E47" s="215">
        <f t="shared" si="26"/>
        <v>0</v>
      </c>
      <c r="F47" s="215">
        <f t="shared" si="26"/>
        <v>0</v>
      </c>
      <c r="G47" s="215">
        <f t="shared" si="26"/>
        <v>0</v>
      </c>
      <c r="H47" s="215">
        <f t="shared" si="26"/>
        <v>0</v>
      </c>
      <c r="I47" s="215">
        <f t="shared" ref="I47:O47" si="28">ROUND(I37*17.3%/3,2)*(I$6="L")</f>
        <v>0</v>
      </c>
      <c r="J47" s="215">
        <f t="shared" si="28"/>
        <v>0</v>
      </c>
      <c r="K47" s="215">
        <f t="shared" si="28"/>
        <v>0</v>
      </c>
      <c r="L47" s="215">
        <f t="shared" si="28"/>
        <v>0</v>
      </c>
      <c r="M47" s="215">
        <f t="shared" si="28"/>
        <v>0</v>
      </c>
      <c r="N47" s="215">
        <f t="shared" si="28"/>
        <v>0</v>
      </c>
      <c r="O47" s="215">
        <f t="shared" si="28"/>
        <v>0</v>
      </c>
      <c r="P47" s="111">
        <f t="shared" si="12"/>
        <v>0</v>
      </c>
      <c r="Q47" s="92"/>
      <c r="R47" s="92"/>
      <c r="S47" s="92"/>
      <c r="T47" s="92"/>
      <c r="U47" s="92"/>
      <c r="V47" s="92"/>
    </row>
    <row r="48" spans="1:22">
      <c r="A48" s="23">
        <f t="shared" si="16"/>
        <v>48</v>
      </c>
      <c r="B48" s="163" t="s">
        <v>119</v>
      </c>
      <c r="C48" s="228"/>
      <c r="D48" s="216">
        <f t="shared" ref="D48:O48" si="29">MAX((SUM(D34:D37)-IF(D13&gt;0,VLOOKUP(D13,Skalalontabel12,7,0),0)*D7*D9/12)*18%/3,0)*(LEFT(D6)&lt;&gt;"L")</f>
        <v>0</v>
      </c>
      <c r="E48" s="216">
        <f t="shared" si="29"/>
        <v>0</v>
      </c>
      <c r="F48" s="216">
        <f t="shared" si="29"/>
        <v>0</v>
      </c>
      <c r="G48" s="216">
        <f t="shared" si="29"/>
        <v>0</v>
      </c>
      <c r="H48" s="216">
        <f t="shared" si="29"/>
        <v>0</v>
      </c>
      <c r="I48" s="216">
        <f t="shared" si="29"/>
        <v>0</v>
      </c>
      <c r="J48" s="216">
        <f t="shared" si="29"/>
        <v>0</v>
      </c>
      <c r="K48" s="216">
        <f t="shared" si="29"/>
        <v>0</v>
      </c>
      <c r="L48" s="216">
        <f t="shared" si="29"/>
        <v>0</v>
      </c>
      <c r="M48" s="216">
        <f t="shared" si="29"/>
        <v>0</v>
      </c>
      <c r="N48" s="216">
        <f t="shared" si="29"/>
        <v>0</v>
      </c>
      <c r="O48" s="216">
        <f t="shared" si="29"/>
        <v>0</v>
      </c>
      <c r="P48" s="111">
        <f t="shared" si="12"/>
        <v>0</v>
      </c>
      <c r="Q48" s="92"/>
      <c r="R48" s="92"/>
      <c r="S48" s="92"/>
      <c r="T48" s="92"/>
      <c r="U48" s="92"/>
      <c r="V48" s="92"/>
    </row>
    <row r="49" spans="1:22">
      <c r="A49" s="23">
        <f t="shared" si="16"/>
        <v>49</v>
      </c>
      <c r="B49" s="163" t="s">
        <v>263</v>
      </c>
      <c r="C49" s="228"/>
      <c r="D49" s="216">
        <f t="shared" ref="D49:O49" si="30">ROUND(-(D15+D18)*4.62%*SUM(D44:D48),2)</f>
        <v>0</v>
      </c>
      <c r="E49" s="216">
        <f t="shared" si="30"/>
        <v>0</v>
      </c>
      <c r="F49" s="216">
        <f t="shared" si="30"/>
        <v>0</v>
      </c>
      <c r="G49" s="216">
        <f t="shared" si="30"/>
        <v>0</v>
      </c>
      <c r="H49" s="216">
        <f t="shared" si="30"/>
        <v>0</v>
      </c>
      <c r="I49" s="216">
        <f t="shared" si="30"/>
        <v>0</v>
      </c>
      <c r="J49" s="216">
        <f t="shared" si="30"/>
        <v>0</v>
      </c>
      <c r="K49" s="216">
        <f t="shared" si="30"/>
        <v>0</v>
      </c>
      <c r="L49" s="216">
        <f t="shared" si="30"/>
        <v>0</v>
      </c>
      <c r="M49" s="216">
        <f t="shared" si="30"/>
        <v>0</v>
      </c>
      <c r="N49" s="216">
        <f t="shared" si="30"/>
        <v>0</v>
      </c>
      <c r="O49" s="216">
        <f t="shared" si="30"/>
        <v>0</v>
      </c>
      <c r="P49" s="111">
        <f t="shared" si="12"/>
        <v>0</v>
      </c>
      <c r="Q49" s="92"/>
      <c r="R49" s="92"/>
      <c r="S49" s="92"/>
      <c r="T49" s="92"/>
      <c r="U49" s="92"/>
      <c r="V49" s="92"/>
    </row>
    <row r="50" spans="1:22">
      <c r="A50" s="23">
        <f t="shared" si="16"/>
        <v>50</v>
      </c>
      <c r="B50" s="164" t="s">
        <v>43</v>
      </c>
      <c r="C50" s="228"/>
      <c r="D50" s="219">
        <f>IF(OR(D40=0,D9=0),0,(D44+D47)/D9*4.62%*(D16-D9)*(D14-D15))</f>
        <v>0</v>
      </c>
      <c r="E50" s="219">
        <f>IF(OR(E40=0,E9=0),0,(E44+E47)/E9*4.62%*(E16-E9)*(E14-E15))</f>
        <v>0</v>
      </c>
      <c r="F50" s="219">
        <f>IF(OR(F40=0,F9=0),0,(F44+F47)/F9*4.62%*(F16-F9)*(F14-F15))</f>
        <v>0</v>
      </c>
      <c r="G50" s="219">
        <f>IF(OR(G40=0,G9=0),0,(G44+G47)/G9*4.62%*(G16-G9)*(G14-G15))</f>
        <v>0</v>
      </c>
      <c r="H50" s="219">
        <f>IF(OR(H40=0,H9=0),0,(H44+H47)/H9*4.62%*(H16-H9)*(H14-H15))</f>
        <v>0</v>
      </c>
      <c r="I50" s="219">
        <f t="shared" ref="I50:O50" si="31">IF(OR(I40=0,I9=0),0,(I44+I47)/I9*4.62%*(I16-I9)*(I14-I15))</f>
        <v>0</v>
      </c>
      <c r="J50" s="219">
        <f t="shared" si="31"/>
        <v>0</v>
      </c>
      <c r="K50" s="219">
        <f t="shared" si="31"/>
        <v>0</v>
      </c>
      <c r="L50" s="219">
        <f t="shared" si="31"/>
        <v>0</v>
      </c>
      <c r="M50" s="219">
        <f t="shared" si="31"/>
        <v>0</v>
      </c>
      <c r="N50" s="219">
        <f t="shared" si="31"/>
        <v>0</v>
      </c>
      <c r="O50" s="219">
        <f t="shared" si="31"/>
        <v>0</v>
      </c>
      <c r="P50" s="131">
        <f t="shared" si="12"/>
        <v>0</v>
      </c>
      <c r="Q50" s="92"/>
      <c r="R50" s="92"/>
      <c r="S50" s="92"/>
      <c r="T50" s="92"/>
      <c r="U50" s="92"/>
      <c r="V50" s="92"/>
    </row>
    <row r="51" spans="1:22" ht="13" thickBot="1">
      <c r="A51" s="158">
        <f t="shared" si="16"/>
        <v>51</v>
      </c>
      <c r="B51" s="159" t="s">
        <v>194</v>
      </c>
      <c r="C51" s="229"/>
      <c r="D51" s="220">
        <f t="shared" ref="D51:O51" si="32">SUM(D44:D50)</f>
        <v>0</v>
      </c>
      <c r="E51" s="220">
        <f t="shared" si="32"/>
        <v>0</v>
      </c>
      <c r="F51" s="220">
        <f t="shared" si="32"/>
        <v>0</v>
      </c>
      <c r="G51" s="220">
        <f t="shared" si="32"/>
        <v>0</v>
      </c>
      <c r="H51" s="220">
        <f t="shared" si="32"/>
        <v>0</v>
      </c>
      <c r="I51" s="220">
        <f t="shared" si="32"/>
        <v>0</v>
      </c>
      <c r="J51" s="220">
        <f t="shared" si="32"/>
        <v>0</v>
      </c>
      <c r="K51" s="220">
        <f t="shared" si="32"/>
        <v>0</v>
      </c>
      <c r="L51" s="220">
        <f t="shared" si="32"/>
        <v>0</v>
      </c>
      <c r="M51" s="220">
        <f t="shared" si="32"/>
        <v>0</v>
      </c>
      <c r="N51" s="220">
        <f t="shared" si="32"/>
        <v>0</v>
      </c>
      <c r="O51" s="220">
        <f t="shared" si="32"/>
        <v>0</v>
      </c>
      <c r="P51" s="161">
        <f t="shared" si="12"/>
        <v>0</v>
      </c>
      <c r="Q51" s="92"/>
      <c r="R51" s="92"/>
      <c r="S51" s="92"/>
      <c r="T51" s="92"/>
      <c r="U51" s="92"/>
      <c r="V51" s="92"/>
    </row>
    <row r="52" spans="1:22">
      <c r="A52" s="23">
        <f>A51+1</f>
        <v>52</v>
      </c>
      <c r="B52" s="190" t="s">
        <v>105</v>
      </c>
      <c r="C52" s="230"/>
      <c r="D52" s="221">
        <f>D64/3</f>
        <v>0</v>
      </c>
      <c r="E52" s="221">
        <f>E64/3</f>
        <v>0</v>
      </c>
      <c r="F52" s="221">
        <f>F64/3</f>
        <v>0</v>
      </c>
      <c r="G52" s="221">
        <f>G64/3</f>
        <v>0</v>
      </c>
      <c r="H52" s="221">
        <f>H64/3</f>
        <v>0</v>
      </c>
      <c r="I52" s="221">
        <f t="shared" ref="I52:O52" si="33">I64/3</f>
        <v>0</v>
      </c>
      <c r="J52" s="221">
        <f t="shared" si="33"/>
        <v>0</v>
      </c>
      <c r="K52" s="221">
        <f t="shared" si="33"/>
        <v>0</v>
      </c>
      <c r="L52" s="221">
        <f t="shared" si="33"/>
        <v>0</v>
      </c>
      <c r="M52" s="221">
        <f t="shared" si="33"/>
        <v>0</v>
      </c>
      <c r="N52" s="221">
        <f t="shared" si="33"/>
        <v>0</v>
      </c>
      <c r="O52" s="221">
        <f t="shared" si="33"/>
        <v>0</v>
      </c>
      <c r="P52" s="109">
        <f>SUM(D52:O52)</f>
        <v>0</v>
      </c>
      <c r="Q52" s="92"/>
      <c r="R52" s="92"/>
      <c r="S52" s="92"/>
      <c r="T52" s="92"/>
      <c r="U52" s="92"/>
      <c r="V52" s="92"/>
    </row>
    <row r="53" spans="1:22">
      <c r="A53" s="23">
        <f>A52+1</f>
        <v>53</v>
      </c>
      <c r="B53" s="190" t="s">
        <v>100</v>
      </c>
      <c r="C53" s="230"/>
      <c r="D53" s="221">
        <f t="shared" ref="D53:O53" si="34">SUM(D34:D41)-D52</f>
        <v>0</v>
      </c>
      <c r="E53" s="221">
        <f t="shared" si="34"/>
        <v>0</v>
      </c>
      <c r="F53" s="221">
        <f t="shared" si="34"/>
        <v>0</v>
      </c>
      <c r="G53" s="221">
        <f t="shared" si="34"/>
        <v>0</v>
      </c>
      <c r="H53" s="221">
        <f t="shared" si="34"/>
        <v>0</v>
      </c>
      <c r="I53" s="221">
        <f t="shared" si="34"/>
        <v>0</v>
      </c>
      <c r="J53" s="221">
        <f t="shared" si="34"/>
        <v>0</v>
      </c>
      <c r="K53" s="221">
        <f t="shared" si="34"/>
        <v>0</v>
      </c>
      <c r="L53" s="221">
        <f t="shared" si="34"/>
        <v>0</v>
      </c>
      <c r="M53" s="221">
        <f t="shared" si="34"/>
        <v>0</v>
      </c>
      <c r="N53" s="221">
        <f t="shared" si="34"/>
        <v>0</v>
      </c>
      <c r="O53" s="221">
        <f t="shared" si="34"/>
        <v>0</v>
      </c>
      <c r="P53" s="109">
        <f t="shared" ref="P53:P69" si="35">SUM(D53:O53)</f>
        <v>0</v>
      </c>
      <c r="Q53" s="92"/>
      <c r="R53" s="92"/>
      <c r="S53" s="92"/>
      <c r="T53" s="92"/>
      <c r="U53" s="92"/>
      <c r="V53" s="92"/>
    </row>
    <row r="54" spans="1:22">
      <c r="A54" s="23">
        <f t="shared" ref="A54:A70" si="36">A53+1</f>
        <v>54</v>
      </c>
      <c r="B54" s="191" t="s">
        <v>101</v>
      </c>
      <c r="C54" s="230"/>
      <c r="D54" s="222">
        <f t="shared" ref="D54:O54" si="37">ROUND(D53*8%,0)</f>
        <v>0</v>
      </c>
      <c r="E54" s="222">
        <f t="shared" si="37"/>
        <v>0</v>
      </c>
      <c r="F54" s="222">
        <f t="shared" si="37"/>
        <v>0</v>
      </c>
      <c r="G54" s="222">
        <f t="shared" si="37"/>
        <v>0</v>
      </c>
      <c r="H54" s="222">
        <f t="shared" si="37"/>
        <v>0</v>
      </c>
      <c r="I54" s="222">
        <f t="shared" si="37"/>
        <v>0</v>
      </c>
      <c r="J54" s="222">
        <f t="shared" si="37"/>
        <v>0</v>
      </c>
      <c r="K54" s="222">
        <f t="shared" si="37"/>
        <v>0</v>
      </c>
      <c r="L54" s="222">
        <f t="shared" si="37"/>
        <v>0</v>
      </c>
      <c r="M54" s="222">
        <f t="shared" si="37"/>
        <v>0</v>
      </c>
      <c r="N54" s="222">
        <f t="shared" si="37"/>
        <v>0</v>
      </c>
      <c r="O54" s="222">
        <f t="shared" si="37"/>
        <v>0</v>
      </c>
      <c r="P54" s="111">
        <f t="shared" si="35"/>
        <v>0</v>
      </c>
      <c r="Q54" s="92"/>
      <c r="R54" s="92"/>
      <c r="S54" s="92"/>
      <c r="T54" s="92"/>
      <c r="U54" s="92"/>
      <c r="V54" s="92"/>
    </row>
    <row r="55" spans="1:22">
      <c r="A55" s="23">
        <f t="shared" si="36"/>
        <v>55</v>
      </c>
      <c r="B55" s="191" t="s">
        <v>102</v>
      </c>
      <c r="C55" s="230"/>
      <c r="D55" s="222">
        <f t="shared" ref="D55:O55" si="38">D53-D54</f>
        <v>0</v>
      </c>
      <c r="E55" s="222">
        <f t="shared" si="38"/>
        <v>0</v>
      </c>
      <c r="F55" s="222">
        <f t="shared" si="38"/>
        <v>0</v>
      </c>
      <c r="G55" s="222">
        <f t="shared" si="38"/>
        <v>0</v>
      </c>
      <c r="H55" s="222">
        <f t="shared" si="38"/>
        <v>0</v>
      </c>
      <c r="I55" s="222">
        <f t="shared" si="38"/>
        <v>0</v>
      </c>
      <c r="J55" s="222">
        <f t="shared" si="38"/>
        <v>0</v>
      </c>
      <c r="K55" s="222">
        <f t="shared" si="38"/>
        <v>0</v>
      </c>
      <c r="L55" s="222">
        <f t="shared" si="38"/>
        <v>0</v>
      </c>
      <c r="M55" s="222">
        <f t="shared" si="38"/>
        <v>0</v>
      </c>
      <c r="N55" s="222">
        <f t="shared" si="38"/>
        <v>0</v>
      </c>
      <c r="O55" s="222">
        <f t="shared" si="38"/>
        <v>0</v>
      </c>
      <c r="P55" s="111">
        <f t="shared" si="35"/>
        <v>0</v>
      </c>
      <c r="Q55" s="92"/>
      <c r="R55" s="92"/>
      <c r="S55" s="92"/>
      <c r="T55" s="92"/>
      <c r="U55" s="92"/>
      <c r="V55" s="92"/>
    </row>
    <row r="56" spans="1:22">
      <c r="A56" s="23">
        <f t="shared" si="36"/>
        <v>56</v>
      </c>
      <c r="B56" s="191" t="s">
        <v>115</v>
      </c>
      <c r="C56" s="230"/>
      <c r="D56" s="222">
        <f t="shared" ref="D56:O56" si="39">ROUND(D55-D20,-1)</f>
        <v>0</v>
      </c>
      <c r="E56" s="222">
        <f t="shared" si="39"/>
        <v>0</v>
      </c>
      <c r="F56" s="222">
        <f t="shared" si="39"/>
        <v>0</v>
      </c>
      <c r="G56" s="222">
        <f t="shared" si="39"/>
        <v>0</v>
      </c>
      <c r="H56" s="222">
        <f t="shared" si="39"/>
        <v>0</v>
      </c>
      <c r="I56" s="222">
        <f t="shared" si="39"/>
        <v>0</v>
      </c>
      <c r="J56" s="222">
        <f t="shared" si="39"/>
        <v>0</v>
      </c>
      <c r="K56" s="222">
        <f t="shared" si="39"/>
        <v>0</v>
      </c>
      <c r="L56" s="222">
        <f t="shared" si="39"/>
        <v>0</v>
      </c>
      <c r="M56" s="222">
        <f t="shared" si="39"/>
        <v>0</v>
      </c>
      <c r="N56" s="222">
        <f t="shared" si="39"/>
        <v>0</v>
      </c>
      <c r="O56" s="222">
        <f t="shared" si="39"/>
        <v>0</v>
      </c>
      <c r="P56" s="111"/>
      <c r="Q56" s="92"/>
      <c r="R56" s="92"/>
      <c r="S56" s="92"/>
      <c r="T56" s="92"/>
      <c r="U56" s="92"/>
      <c r="V56" s="92"/>
    </row>
    <row r="57" spans="1:22">
      <c r="A57" s="23">
        <f t="shared" si="36"/>
        <v>57</v>
      </c>
      <c r="B57" s="191" t="s">
        <v>103</v>
      </c>
      <c r="C57" s="230"/>
      <c r="D57" s="222">
        <f t="shared" ref="D57:O57" si="40">ROUND(D56*D19/100,0)</f>
        <v>0</v>
      </c>
      <c r="E57" s="222">
        <f t="shared" si="40"/>
        <v>0</v>
      </c>
      <c r="F57" s="222">
        <f t="shared" si="40"/>
        <v>0</v>
      </c>
      <c r="G57" s="222">
        <f t="shared" si="40"/>
        <v>0</v>
      </c>
      <c r="H57" s="222">
        <f t="shared" si="40"/>
        <v>0</v>
      </c>
      <c r="I57" s="222">
        <f t="shared" si="40"/>
        <v>0</v>
      </c>
      <c r="J57" s="222">
        <f t="shared" si="40"/>
        <v>0</v>
      </c>
      <c r="K57" s="222">
        <f t="shared" si="40"/>
        <v>0</v>
      </c>
      <c r="L57" s="222">
        <f t="shared" si="40"/>
        <v>0</v>
      </c>
      <c r="M57" s="222">
        <f t="shared" si="40"/>
        <v>0</v>
      </c>
      <c r="N57" s="222">
        <f t="shared" si="40"/>
        <v>0</v>
      </c>
      <c r="O57" s="222">
        <f t="shared" si="40"/>
        <v>0</v>
      </c>
      <c r="P57" s="111">
        <f t="shared" si="35"/>
        <v>0</v>
      </c>
      <c r="Q57" s="92"/>
      <c r="R57" s="92"/>
      <c r="S57" s="92"/>
      <c r="T57" s="92"/>
      <c r="U57" s="92"/>
      <c r="V57" s="92"/>
    </row>
    <row r="58" spans="1:22">
      <c r="A58" s="23">
        <f t="shared" si="36"/>
        <v>58</v>
      </c>
      <c r="B58" s="191" t="s">
        <v>449</v>
      </c>
      <c r="C58" s="243"/>
      <c r="D58" s="222">
        <f>SUM(D34:D41)</f>
        <v>0</v>
      </c>
      <c r="E58" s="222">
        <f>SUM(E34:E41)</f>
        <v>0</v>
      </c>
      <c r="F58" s="222">
        <f>SUM(F34:F41)</f>
        <v>0</v>
      </c>
      <c r="G58" s="222">
        <f>SUM(G34:G41)</f>
        <v>0</v>
      </c>
      <c r="H58" s="222">
        <f>SUM(H34:H41)</f>
        <v>0</v>
      </c>
      <c r="I58" s="143" t="s">
        <v>220</v>
      </c>
      <c r="J58" s="165"/>
      <c r="K58" s="165"/>
      <c r="L58" s="165"/>
      <c r="M58" s="165"/>
      <c r="N58" s="165"/>
      <c r="O58" s="165"/>
      <c r="P58" s="111">
        <f>SUM(C58:H58)</f>
        <v>0</v>
      </c>
      <c r="Q58" s="92"/>
      <c r="R58" s="92"/>
      <c r="S58" s="92"/>
      <c r="T58" s="92"/>
      <c r="U58" s="92"/>
      <c r="V58" s="92"/>
    </row>
    <row r="59" spans="1:22">
      <c r="A59" s="23">
        <f t="shared" si="36"/>
        <v>59</v>
      </c>
      <c r="B59" s="191" t="s">
        <v>450</v>
      </c>
      <c r="C59" s="233"/>
      <c r="D59" s="144" t="s">
        <v>220</v>
      </c>
      <c r="E59" s="165"/>
      <c r="F59" s="165"/>
      <c r="G59" s="165"/>
      <c r="H59" s="165"/>
      <c r="I59" s="114">
        <f>SUM(I34:I41)</f>
        <v>0</v>
      </c>
      <c r="J59" s="114">
        <f>SUM(J34:J41)</f>
        <v>0</v>
      </c>
      <c r="K59" s="114">
        <f>SUM(K34:K41)</f>
        <v>0</v>
      </c>
      <c r="L59" s="114">
        <f>SUM(L34:L41)</f>
        <v>0</v>
      </c>
      <c r="M59" s="114">
        <f>SUM(M34:M41)-M27</f>
        <v>0</v>
      </c>
      <c r="N59" s="114">
        <f>SUM(N34:N41)-N27</f>
        <v>0</v>
      </c>
      <c r="O59" s="114">
        <f>SUM(O34:O41)-O27</f>
        <v>0</v>
      </c>
      <c r="P59" s="111">
        <f t="shared" si="35"/>
        <v>0</v>
      </c>
      <c r="Q59" s="92"/>
      <c r="R59" s="92"/>
      <c r="S59" s="92"/>
      <c r="T59" s="92"/>
      <c r="U59" s="92"/>
      <c r="V59" s="92"/>
    </row>
    <row r="60" spans="1:22">
      <c r="A60" s="23">
        <f t="shared" si="36"/>
        <v>60</v>
      </c>
      <c r="B60" s="191" t="s">
        <v>193</v>
      </c>
      <c r="C60" s="230"/>
      <c r="D60" s="222">
        <f>D51</f>
        <v>0</v>
      </c>
      <c r="E60" s="114">
        <f t="shared" ref="E60:O60" si="41">E51</f>
        <v>0</v>
      </c>
      <c r="F60" s="114">
        <f t="shared" si="41"/>
        <v>0</v>
      </c>
      <c r="G60" s="114">
        <f t="shared" si="41"/>
        <v>0</v>
      </c>
      <c r="H60" s="114">
        <f t="shared" si="41"/>
        <v>0</v>
      </c>
      <c r="I60" s="114">
        <f t="shared" si="41"/>
        <v>0</v>
      </c>
      <c r="J60" s="114">
        <f t="shared" si="41"/>
        <v>0</v>
      </c>
      <c r="K60" s="114">
        <f t="shared" si="41"/>
        <v>0</v>
      </c>
      <c r="L60" s="114">
        <f t="shared" si="41"/>
        <v>0</v>
      </c>
      <c r="M60" s="114">
        <f t="shared" si="41"/>
        <v>0</v>
      </c>
      <c r="N60" s="114">
        <f t="shared" si="41"/>
        <v>0</v>
      </c>
      <c r="O60" s="114">
        <f t="shared" si="41"/>
        <v>0</v>
      </c>
      <c r="P60" s="111">
        <f t="shared" si="35"/>
        <v>0</v>
      </c>
      <c r="Q60" s="92"/>
      <c r="R60" s="92"/>
      <c r="S60" s="92"/>
      <c r="T60" s="92"/>
      <c r="U60" s="92"/>
      <c r="V60" s="92"/>
    </row>
    <row r="61" spans="1:22">
      <c r="A61" s="23">
        <f t="shared" si="36"/>
        <v>61</v>
      </c>
      <c r="B61" s="191" t="s">
        <v>197</v>
      </c>
      <c r="C61" s="230"/>
      <c r="D61" s="222">
        <f>D60*2</f>
        <v>0</v>
      </c>
      <c r="E61" s="114">
        <f t="shared" ref="E61:O61" si="42">E60*2</f>
        <v>0</v>
      </c>
      <c r="F61" s="114">
        <f t="shared" si="42"/>
        <v>0</v>
      </c>
      <c r="G61" s="114">
        <f t="shared" si="42"/>
        <v>0</v>
      </c>
      <c r="H61" s="114">
        <f t="shared" si="42"/>
        <v>0</v>
      </c>
      <c r="I61" s="114">
        <f t="shared" si="42"/>
        <v>0</v>
      </c>
      <c r="J61" s="114">
        <f t="shared" si="42"/>
        <v>0</v>
      </c>
      <c r="K61" s="114">
        <f t="shared" si="42"/>
        <v>0</v>
      </c>
      <c r="L61" s="114">
        <f t="shared" si="42"/>
        <v>0</v>
      </c>
      <c r="M61" s="114">
        <f t="shared" si="42"/>
        <v>0</v>
      </c>
      <c r="N61" s="114">
        <f t="shared" si="42"/>
        <v>0</v>
      </c>
      <c r="O61" s="114">
        <f t="shared" si="42"/>
        <v>0</v>
      </c>
      <c r="P61" s="111">
        <f t="shared" si="35"/>
        <v>0</v>
      </c>
      <c r="Q61" s="92"/>
      <c r="R61" s="92"/>
      <c r="S61" s="92"/>
      <c r="T61" s="92"/>
      <c r="U61" s="92"/>
      <c r="V61" s="92"/>
    </row>
    <row r="62" spans="1:22">
      <c r="A62" s="23">
        <f t="shared" si="36"/>
        <v>62</v>
      </c>
      <c r="B62" s="191" t="s">
        <v>46</v>
      </c>
      <c r="C62" s="230"/>
      <c r="D62" s="222">
        <f>D64*2/3</f>
        <v>0</v>
      </c>
      <c r="E62" s="114">
        <f t="shared" ref="E62:O62" si="43">E64*2/3</f>
        <v>0</v>
      </c>
      <c r="F62" s="114">
        <f t="shared" si="43"/>
        <v>0</v>
      </c>
      <c r="G62" s="114">
        <f t="shared" si="43"/>
        <v>0</v>
      </c>
      <c r="H62" s="114">
        <f t="shared" si="43"/>
        <v>0</v>
      </c>
      <c r="I62" s="114">
        <f t="shared" si="43"/>
        <v>0</v>
      </c>
      <c r="J62" s="114">
        <f t="shared" si="43"/>
        <v>0</v>
      </c>
      <c r="K62" s="114">
        <f t="shared" si="43"/>
        <v>0</v>
      </c>
      <c r="L62" s="114">
        <f t="shared" si="43"/>
        <v>0</v>
      </c>
      <c r="M62" s="114">
        <f t="shared" si="43"/>
        <v>0</v>
      </c>
      <c r="N62" s="114">
        <f t="shared" si="43"/>
        <v>0</v>
      </c>
      <c r="O62" s="114">
        <f t="shared" si="43"/>
        <v>0</v>
      </c>
      <c r="P62" s="111">
        <f t="shared" si="35"/>
        <v>0</v>
      </c>
      <c r="Q62" s="92"/>
      <c r="R62" s="92"/>
      <c r="S62" s="92"/>
      <c r="T62" s="92"/>
      <c r="U62" s="92"/>
      <c r="V62" s="92"/>
    </row>
    <row r="63" spans="1:22">
      <c r="A63" s="23">
        <f t="shared" si="36"/>
        <v>63</v>
      </c>
      <c r="B63" s="191" t="s">
        <v>120</v>
      </c>
      <c r="C63" s="230"/>
      <c r="D63" s="222">
        <f>D60+D61</f>
        <v>0</v>
      </c>
      <c r="E63" s="114">
        <f t="shared" ref="E63:O63" si="44">E60+E61</f>
        <v>0</v>
      </c>
      <c r="F63" s="114">
        <f t="shared" si="44"/>
        <v>0</v>
      </c>
      <c r="G63" s="114">
        <f t="shared" si="44"/>
        <v>0</v>
      </c>
      <c r="H63" s="114">
        <f t="shared" si="44"/>
        <v>0</v>
      </c>
      <c r="I63" s="114">
        <f t="shared" si="44"/>
        <v>0</v>
      </c>
      <c r="J63" s="114">
        <f t="shared" si="44"/>
        <v>0</v>
      </c>
      <c r="K63" s="114">
        <f t="shared" si="44"/>
        <v>0</v>
      </c>
      <c r="L63" s="114">
        <f t="shared" si="44"/>
        <v>0</v>
      </c>
      <c r="M63" s="114">
        <f t="shared" si="44"/>
        <v>0</v>
      </c>
      <c r="N63" s="114">
        <f t="shared" si="44"/>
        <v>0</v>
      </c>
      <c r="O63" s="114">
        <f t="shared" si="44"/>
        <v>0</v>
      </c>
      <c r="P63" s="111">
        <f t="shared" si="35"/>
        <v>0</v>
      </c>
      <c r="Q63" s="92"/>
      <c r="R63" s="92"/>
      <c r="S63" s="92"/>
      <c r="T63" s="92"/>
      <c r="U63" s="92"/>
      <c r="V63" s="92"/>
    </row>
    <row r="64" spans="1:22">
      <c r="A64" s="23">
        <f t="shared" si="36"/>
        <v>64</v>
      </c>
      <c r="B64" s="191" t="s">
        <v>121</v>
      </c>
      <c r="C64" s="230"/>
      <c r="D64" s="222">
        <f t="shared" ref="D64:O64" si="45">90*(((D9*D3)&gt;=9/37)+((D9*D3)&gt;=18/37)+((D9*D3)&gt;=27/37))</f>
        <v>0</v>
      </c>
      <c r="E64" s="222">
        <f t="shared" si="45"/>
        <v>0</v>
      </c>
      <c r="F64" s="222">
        <f t="shared" si="45"/>
        <v>0</v>
      </c>
      <c r="G64" s="222">
        <f t="shared" si="45"/>
        <v>0</v>
      </c>
      <c r="H64" s="222">
        <f t="shared" si="45"/>
        <v>0</v>
      </c>
      <c r="I64" s="114">
        <f t="shared" si="45"/>
        <v>0</v>
      </c>
      <c r="J64" s="114">
        <f t="shared" si="45"/>
        <v>0</v>
      </c>
      <c r="K64" s="114">
        <f t="shared" si="45"/>
        <v>0</v>
      </c>
      <c r="L64" s="114">
        <f t="shared" si="45"/>
        <v>0</v>
      </c>
      <c r="M64" s="114">
        <f t="shared" si="45"/>
        <v>0</v>
      </c>
      <c r="N64" s="114">
        <f t="shared" si="45"/>
        <v>0</v>
      </c>
      <c r="O64" s="114">
        <f t="shared" si="45"/>
        <v>0</v>
      </c>
      <c r="P64" s="111">
        <f t="shared" si="35"/>
        <v>0</v>
      </c>
      <c r="Q64" s="92"/>
      <c r="R64" s="92"/>
      <c r="S64" s="92"/>
      <c r="T64" s="92"/>
      <c r="U64" s="92"/>
      <c r="V64" s="92"/>
    </row>
    <row r="65" spans="1:22">
      <c r="A65" s="23">
        <f t="shared" si="36"/>
        <v>65</v>
      </c>
      <c r="B65" s="191" t="s">
        <v>144</v>
      </c>
      <c r="C65" s="230"/>
      <c r="D65" s="222">
        <f t="shared" ref="D65:O65" si="46">IF(OR(LEFT(D6)="P",LEFT(D6)="E"),VLOOKUP(VALUE(MID(D6,2,2)),Skalalontabel,7,0)*D7/12*15%*MIN(1,D9),0)</f>
        <v>0</v>
      </c>
      <c r="E65" s="222">
        <f t="shared" si="46"/>
        <v>0</v>
      </c>
      <c r="F65" s="222">
        <f t="shared" si="46"/>
        <v>0</v>
      </c>
      <c r="G65" s="222">
        <f t="shared" si="46"/>
        <v>0</v>
      </c>
      <c r="H65" s="222">
        <f t="shared" si="46"/>
        <v>0</v>
      </c>
      <c r="I65" s="222">
        <f t="shared" si="46"/>
        <v>0</v>
      </c>
      <c r="J65" s="222">
        <f t="shared" si="46"/>
        <v>0</v>
      </c>
      <c r="K65" s="222">
        <f t="shared" si="46"/>
        <v>0</v>
      </c>
      <c r="L65" s="222">
        <f t="shared" si="46"/>
        <v>0</v>
      </c>
      <c r="M65" s="222">
        <f t="shared" si="46"/>
        <v>0</v>
      </c>
      <c r="N65" s="222">
        <f t="shared" si="46"/>
        <v>0</v>
      </c>
      <c r="O65" s="222">
        <f t="shared" si="46"/>
        <v>0</v>
      </c>
      <c r="P65" s="111">
        <f t="shared" si="35"/>
        <v>0</v>
      </c>
      <c r="Q65" s="92"/>
      <c r="R65" s="92"/>
      <c r="S65" s="92"/>
      <c r="T65" s="92"/>
      <c r="U65" s="92"/>
      <c r="V65" s="92"/>
    </row>
    <row r="66" spans="1:22">
      <c r="A66" s="23">
        <f t="shared" si="36"/>
        <v>66</v>
      </c>
      <c r="B66" s="191" t="s">
        <v>104</v>
      </c>
      <c r="C66" s="230"/>
      <c r="D66" s="222">
        <f>108.35*(D9&gt;=0.4054)</f>
        <v>0</v>
      </c>
      <c r="E66" s="114">
        <f t="shared" ref="E66:O66" si="47">108.35*(E9&gt;=0.4054)</f>
        <v>0</v>
      </c>
      <c r="F66" s="114">
        <f t="shared" si="47"/>
        <v>0</v>
      </c>
      <c r="G66" s="114">
        <f t="shared" si="47"/>
        <v>0</v>
      </c>
      <c r="H66" s="114">
        <f t="shared" si="47"/>
        <v>0</v>
      </c>
      <c r="I66" s="114">
        <f t="shared" si="47"/>
        <v>0</v>
      </c>
      <c r="J66" s="114">
        <f t="shared" si="47"/>
        <v>0</v>
      </c>
      <c r="K66" s="114">
        <f t="shared" si="47"/>
        <v>0</v>
      </c>
      <c r="L66" s="114">
        <f t="shared" si="47"/>
        <v>0</v>
      </c>
      <c r="M66" s="114">
        <f t="shared" si="47"/>
        <v>0</v>
      </c>
      <c r="N66" s="114">
        <f t="shared" si="47"/>
        <v>0</v>
      </c>
      <c r="O66" s="114">
        <f t="shared" si="47"/>
        <v>0</v>
      </c>
      <c r="P66" s="111">
        <f t="shared" si="35"/>
        <v>0</v>
      </c>
      <c r="Q66" s="92"/>
      <c r="R66" s="92"/>
      <c r="S66" s="92"/>
      <c r="T66" s="92"/>
      <c r="U66" s="92"/>
      <c r="V66" s="92"/>
    </row>
    <row r="67" spans="1:22">
      <c r="A67" s="23">
        <f t="shared" si="36"/>
        <v>67</v>
      </c>
      <c r="B67" s="192" t="s">
        <v>228</v>
      </c>
      <c r="C67" s="230"/>
      <c r="D67" s="223">
        <f t="shared" ref="D67:O67" si="48">D43-(D57+D52+D54+D66)</f>
        <v>0</v>
      </c>
      <c r="E67" s="223">
        <f t="shared" si="48"/>
        <v>0</v>
      </c>
      <c r="F67" s="223">
        <f t="shared" si="48"/>
        <v>0</v>
      </c>
      <c r="G67" s="223">
        <f t="shared" si="48"/>
        <v>0</v>
      </c>
      <c r="H67" s="223">
        <f t="shared" si="48"/>
        <v>0</v>
      </c>
      <c r="I67" s="223">
        <f t="shared" si="48"/>
        <v>0</v>
      </c>
      <c r="J67" s="223">
        <f t="shared" si="48"/>
        <v>0</v>
      </c>
      <c r="K67" s="223">
        <f t="shared" si="48"/>
        <v>0</v>
      </c>
      <c r="L67" s="223">
        <f t="shared" si="48"/>
        <v>0</v>
      </c>
      <c r="M67" s="223">
        <f t="shared" si="48"/>
        <v>0</v>
      </c>
      <c r="N67" s="223">
        <f t="shared" si="48"/>
        <v>0</v>
      </c>
      <c r="O67" s="223">
        <f t="shared" si="48"/>
        <v>0</v>
      </c>
      <c r="P67" s="119">
        <f>SUM(C67:O67)</f>
        <v>0</v>
      </c>
      <c r="Q67" s="91"/>
      <c r="R67" s="91"/>
      <c r="S67" s="92"/>
      <c r="T67" s="92"/>
      <c r="U67" s="92"/>
      <c r="V67" s="92"/>
    </row>
    <row r="68" spans="1:22">
      <c r="A68" s="23">
        <f t="shared" si="36"/>
        <v>68</v>
      </c>
      <c r="B68" s="121" t="s">
        <v>538</v>
      </c>
      <c r="C68" s="244"/>
      <c r="D68" s="142">
        <f>(SUM(D34:D41)+D51)*(1-12/260*D14)</f>
        <v>0</v>
      </c>
      <c r="E68" s="140">
        <f>(SUM(E34:E41)+E51)*(1-12/260*E14)</f>
        <v>0</v>
      </c>
      <c r="F68" s="140">
        <f>(SUM(F34:F41)+F51)*(1-12/260*F14)</f>
        <v>0</v>
      </c>
      <c r="G68" s="140">
        <f>(SUM(G34:G41)+G51)*(1-12/260*G14)</f>
        <v>0</v>
      </c>
      <c r="H68" s="146">
        <f>(SUM(H34:H41)+H51)*(1-12/260*H14)</f>
        <v>0</v>
      </c>
      <c r="I68" s="143" t="s">
        <v>233</v>
      </c>
      <c r="J68" s="123"/>
      <c r="K68" s="123"/>
      <c r="L68" s="123"/>
      <c r="M68" s="123"/>
      <c r="N68" s="123"/>
      <c r="O68" s="123"/>
      <c r="P68" s="111">
        <f>SUM(C68:H68)</f>
        <v>0</v>
      </c>
      <c r="Q68" s="130"/>
      <c r="R68" s="130"/>
      <c r="S68" s="92"/>
      <c r="T68" s="92"/>
      <c r="U68" s="92"/>
      <c r="V68" s="92"/>
    </row>
    <row r="69" spans="1:22">
      <c r="A69" s="23">
        <f t="shared" si="36"/>
        <v>69</v>
      </c>
      <c r="B69" s="193" t="s">
        <v>539</v>
      </c>
      <c r="C69" s="233"/>
      <c r="D69" s="144" t="s">
        <v>233</v>
      </c>
      <c r="E69" s="139"/>
      <c r="F69" s="139"/>
      <c r="G69" s="139"/>
      <c r="H69" s="141"/>
      <c r="I69" s="142">
        <f>(SUM(I$34:I$41)+I$51)*(1-12/260*I$14)</f>
        <v>0</v>
      </c>
      <c r="J69" s="140">
        <f>(SUM(J$34:J$41)+J$51)*(1-12/260*J$14)</f>
        <v>0</v>
      </c>
      <c r="K69" s="140">
        <f>(SUM(K$34:K$41)+K$51)*(1-12/260*K$14)</f>
        <v>0</v>
      </c>
      <c r="L69" s="140">
        <f>(SUM(L$34:L$41)+L$51)*(1-12/260*L$14)</f>
        <v>0</v>
      </c>
      <c r="M69" s="140">
        <f>(SUM(M$34:M$41)-M27+M$51)*(1-12/260*M$14)</f>
        <v>0</v>
      </c>
      <c r="N69" s="140">
        <f>(SUM(N$34:N$41)-N27+N$51)*(1-12/260*N$14)</f>
        <v>0</v>
      </c>
      <c r="O69" s="140">
        <f>(SUM(O$34:O$41)-O27+O$51)*(1-12/260*O$14)</f>
        <v>0</v>
      </c>
      <c r="P69" s="145">
        <f t="shared" si="35"/>
        <v>0</v>
      </c>
      <c r="Q69" s="130"/>
      <c r="R69" s="130"/>
      <c r="S69" s="92"/>
      <c r="T69" s="92"/>
      <c r="U69" s="92"/>
      <c r="V69" s="92"/>
    </row>
    <row r="70" spans="1:22" s="124" customFormat="1">
      <c r="A70" s="23">
        <f t="shared" si="36"/>
        <v>70</v>
      </c>
      <c r="B70" s="136" t="s">
        <v>234</v>
      </c>
      <c r="C70" s="231"/>
      <c r="D70" s="224">
        <f>IF(D9&gt;0,(D34+D35+D37)/D9,0)</f>
        <v>0</v>
      </c>
      <c r="E70" s="224">
        <f t="shared" ref="E70:O70" si="49">IF(E9&gt;0,(E34+E35+E37)/E9,0)</f>
        <v>0</v>
      </c>
      <c r="F70" s="224">
        <f t="shared" si="49"/>
        <v>0</v>
      </c>
      <c r="G70" s="224">
        <f t="shared" si="49"/>
        <v>0</v>
      </c>
      <c r="H70" s="224">
        <f t="shared" si="49"/>
        <v>0</v>
      </c>
      <c r="I70" s="224">
        <f t="shared" si="49"/>
        <v>0</v>
      </c>
      <c r="J70" s="224">
        <f t="shared" si="49"/>
        <v>0</v>
      </c>
      <c r="K70" s="224">
        <f t="shared" si="49"/>
        <v>0</v>
      </c>
      <c r="L70" s="224">
        <f t="shared" si="49"/>
        <v>0</v>
      </c>
      <c r="M70" s="224">
        <f t="shared" si="49"/>
        <v>0</v>
      </c>
      <c r="N70" s="224">
        <f t="shared" si="49"/>
        <v>0</v>
      </c>
      <c r="O70" s="224">
        <f t="shared" si="49"/>
        <v>0</v>
      </c>
      <c r="P70" s="138"/>
      <c r="Q70" s="92"/>
      <c r="R70" s="92"/>
      <c r="S70" s="92"/>
      <c r="T70" s="92"/>
      <c r="U70" s="92"/>
      <c r="V70" s="92"/>
    </row>
    <row r="71" spans="1:22" s="124" customFormat="1">
      <c r="A71" s="23">
        <f>A70+1</f>
        <v>71</v>
      </c>
      <c r="B71" s="124" t="s">
        <v>268</v>
      </c>
      <c r="C71" s="231"/>
      <c r="D71" s="125">
        <f>IF(D9&gt;0,(D44+D45+D47)/D9,0)</f>
        <v>0</v>
      </c>
      <c r="E71" s="125">
        <f t="shared" ref="E71:O71" si="50">IF(E9&gt;0,(E44+E45+E47)/E9,0)</f>
        <v>0</v>
      </c>
      <c r="F71" s="125">
        <f t="shared" si="50"/>
        <v>0</v>
      </c>
      <c r="G71" s="125">
        <f t="shared" si="50"/>
        <v>0</v>
      </c>
      <c r="H71" s="125">
        <f t="shared" si="50"/>
        <v>0</v>
      </c>
      <c r="I71" s="125">
        <f t="shared" si="50"/>
        <v>0</v>
      </c>
      <c r="J71" s="125">
        <f t="shared" si="50"/>
        <v>0</v>
      </c>
      <c r="K71" s="125">
        <f t="shared" si="50"/>
        <v>0</v>
      </c>
      <c r="L71" s="125">
        <f t="shared" si="50"/>
        <v>0</v>
      </c>
      <c r="M71" s="125">
        <f t="shared" si="50"/>
        <v>0</v>
      </c>
      <c r="N71" s="125">
        <f t="shared" si="50"/>
        <v>0</v>
      </c>
      <c r="O71" s="125">
        <f t="shared" si="50"/>
        <v>0</v>
      </c>
      <c r="P71" s="126"/>
      <c r="Q71" s="92"/>
      <c r="R71" s="92"/>
      <c r="S71" s="92"/>
      <c r="T71" s="92"/>
      <c r="U71" s="92"/>
      <c r="V71" s="92"/>
    </row>
    <row r="72" spans="1:22">
      <c r="C72" s="245"/>
      <c r="Q72" s="92"/>
      <c r="R72" s="92"/>
      <c r="S72" s="92"/>
      <c r="T72" s="92"/>
      <c r="U72" s="92"/>
      <c r="V72" s="92"/>
    </row>
    <row r="73" spans="1:22" s="127" customFormat="1">
      <c r="A73" s="91"/>
      <c r="B73" s="92"/>
      <c r="C73" s="92"/>
      <c r="D73" s="120"/>
      <c r="E73" s="120"/>
      <c r="F73" s="120"/>
      <c r="G73" s="120"/>
      <c r="H73" s="120"/>
      <c r="I73" s="120"/>
      <c r="J73" s="120"/>
      <c r="K73" s="120"/>
      <c r="L73" s="120"/>
      <c r="M73" s="120"/>
      <c r="N73" s="120"/>
      <c r="O73" s="120"/>
      <c r="P73" s="90"/>
      <c r="Q73" s="92"/>
      <c r="R73" s="92"/>
      <c r="S73" s="92"/>
      <c r="T73" s="92"/>
      <c r="U73" s="92"/>
      <c r="V73" s="92"/>
    </row>
    <row r="74" spans="1:22" s="127" customFormat="1">
      <c r="A74" s="91"/>
      <c r="B74" s="92"/>
      <c r="C74" s="92"/>
      <c r="D74" s="120"/>
      <c r="E74" s="93"/>
      <c r="F74" s="93"/>
      <c r="G74" s="93"/>
      <c r="H74" s="93"/>
      <c r="I74" s="93"/>
      <c r="J74" s="93"/>
      <c r="K74" s="93"/>
      <c r="L74" s="93"/>
      <c r="M74" s="93"/>
      <c r="N74" s="93"/>
      <c r="O74" s="93"/>
      <c r="P74" s="90"/>
      <c r="Q74" s="92"/>
      <c r="R74" s="92"/>
      <c r="S74" s="92"/>
      <c r="T74" s="92"/>
      <c r="U74" s="92"/>
      <c r="V74" s="92"/>
    </row>
    <row r="75" spans="1:22" s="127" customFormat="1">
      <c r="A75" s="91"/>
      <c r="B75" s="92"/>
      <c r="C75" s="92"/>
      <c r="D75" s="93"/>
      <c r="E75" s="93"/>
      <c r="F75" s="93"/>
      <c r="G75" s="93"/>
      <c r="H75" s="93"/>
      <c r="I75" s="93"/>
      <c r="J75" s="93"/>
      <c r="K75" s="93"/>
      <c r="L75" s="93"/>
      <c r="M75" s="93"/>
      <c r="N75" s="93"/>
      <c r="O75" s="93"/>
      <c r="P75" s="90"/>
      <c r="Q75" s="92"/>
      <c r="R75" s="92"/>
      <c r="S75" s="92"/>
      <c r="T75" s="92"/>
      <c r="U75" s="92"/>
      <c r="V75" s="92"/>
    </row>
    <row r="76" spans="1:22" s="127" customFormat="1">
      <c r="A76" s="91"/>
      <c r="B76" s="92"/>
      <c r="C76" s="92"/>
      <c r="D76" s="93"/>
      <c r="E76" s="93"/>
      <c r="F76" s="93"/>
      <c r="G76" s="93"/>
      <c r="H76" s="93"/>
      <c r="I76" s="93"/>
      <c r="J76" s="93"/>
      <c r="K76" s="93"/>
      <c r="L76" s="93"/>
      <c r="M76" s="93"/>
      <c r="N76" s="93"/>
      <c r="O76" s="93"/>
      <c r="P76" s="90"/>
      <c r="Q76" s="92"/>
      <c r="R76" s="92"/>
      <c r="S76" s="92"/>
      <c r="T76" s="92"/>
      <c r="U76" s="92"/>
      <c r="V76" s="92"/>
    </row>
    <row r="77" spans="1:22" s="127" customFormat="1">
      <c r="A77" s="91"/>
      <c r="B77" s="92"/>
      <c r="C77" s="92"/>
      <c r="D77" s="93"/>
      <c r="E77" s="93"/>
      <c r="F77" s="93"/>
      <c r="G77" s="93"/>
      <c r="H77" s="93"/>
      <c r="I77" s="93"/>
      <c r="J77" s="93"/>
      <c r="K77" s="93"/>
      <c r="L77" s="93"/>
      <c r="M77" s="93"/>
      <c r="N77" s="93"/>
      <c r="O77" s="93"/>
      <c r="P77" s="90"/>
      <c r="Q77" s="92"/>
      <c r="R77" s="92"/>
      <c r="S77" s="92"/>
      <c r="T77" s="92"/>
      <c r="U77" s="92"/>
      <c r="V77" s="92"/>
    </row>
    <row r="78" spans="1:22">
      <c r="A78" s="85"/>
      <c r="B78" s="86"/>
      <c r="C78" s="86"/>
      <c r="D78" s="87"/>
      <c r="E78" s="87"/>
      <c r="F78" s="87"/>
      <c r="G78" s="87"/>
      <c r="H78" s="87"/>
      <c r="I78" s="87"/>
      <c r="J78" s="87"/>
      <c r="K78" s="87"/>
      <c r="L78" s="87"/>
      <c r="M78" s="87"/>
      <c r="N78" s="87"/>
      <c r="O78" s="87"/>
      <c r="P78" s="88"/>
    </row>
    <row r="79" spans="1:22">
      <c r="A79" s="85"/>
      <c r="B79" s="86"/>
      <c r="C79" s="86"/>
      <c r="D79" s="87"/>
      <c r="E79" s="87"/>
      <c r="F79" s="87"/>
      <c r="G79" s="87"/>
      <c r="H79" s="87"/>
      <c r="I79" s="87"/>
      <c r="J79" s="87"/>
      <c r="K79" s="87"/>
      <c r="L79" s="87"/>
      <c r="M79" s="87"/>
      <c r="N79" s="87"/>
      <c r="O79" s="87"/>
      <c r="P79" s="88"/>
    </row>
    <row r="80" spans="1:22">
      <c r="A80" s="85"/>
      <c r="B80" s="86"/>
      <c r="C80" s="86"/>
      <c r="D80" s="87"/>
      <c r="E80" s="87"/>
      <c r="F80" s="87"/>
      <c r="G80" s="87"/>
      <c r="H80" s="87"/>
      <c r="I80" s="87"/>
      <c r="J80" s="87"/>
      <c r="K80" s="87"/>
      <c r="L80" s="87"/>
      <c r="M80" s="87"/>
      <c r="N80" s="87"/>
      <c r="O80" s="87"/>
      <c r="P80" s="88"/>
    </row>
    <row r="81" spans="1:16">
      <c r="A81" s="85"/>
      <c r="B81" s="86"/>
      <c r="C81" s="86"/>
      <c r="D81" s="87"/>
      <c r="E81" s="87"/>
      <c r="F81" s="87"/>
      <c r="G81" s="87"/>
      <c r="H81" s="87"/>
      <c r="I81" s="87"/>
      <c r="J81" s="87"/>
      <c r="K81" s="87"/>
      <c r="L81" s="87"/>
      <c r="M81" s="87"/>
      <c r="N81" s="87"/>
      <c r="O81" s="87"/>
      <c r="P81" s="88"/>
    </row>
    <row r="82" spans="1:16">
      <c r="A82" s="85"/>
      <c r="B82" s="86"/>
      <c r="C82" s="86"/>
      <c r="D82" s="87"/>
      <c r="E82" s="87"/>
      <c r="F82" s="87"/>
      <c r="G82" s="87"/>
      <c r="H82" s="87"/>
      <c r="I82" s="87"/>
      <c r="J82" s="87"/>
      <c r="K82" s="87"/>
      <c r="L82" s="87"/>
      <c r="M82" s="87"/>
      <c r="N82" s="87"/>
      <c r="O82" s="87"/>
      <c r="P82" s="88"/>
    </row>
    <row r="83" spans="1:16">
      <c r="A83" s="85"/>
      <c r="B83" s="86"/>
      <c r="C83" s="86"/>
      <c r="D83" s="87"/>
      <c r="E83" s="87"/>
      <c r="F83" s="87"/>
      <c r="G83" s="87"/>
      <c r="H83" s="87"/>
      <c r="I83" s="87"/>
      <c r="J83" s="87"/>
      <c r="K83" s="87"/>
      <c r="L83" s="87"/>
      <c r="M83" s="87"/>
      <c r="N83" s="87"/>
      <c r="O83" s="87"/>
      <c r="P83" s="88"/>
    </row>
    <row r="84" spans="1:16">
      <c r="A84" s="85"/>
      <c r="B84" s="86"/>
      <c r="C84" s="86"/>
      <c r="D84" s="87"/>
      <c r="E84" s="87"/>
      <c r="F84" s="87"/>
      <c r="G84" s="87"/>
      <c r="H84" s="87"/>
      <c r="I84" s="87"/>
      <c r="J84" s="87"/>
      <c r="K84" s="87"/>
      <c r="L84" s="87"/>
      <c r="M84" s="87"/>
      <c r="N84" s="87"/>
      <c r="O84" s="87"/>
      <c r="P84" s="88"/>
    </row>
    <row r="85" spans="1:16">
      <c r="A85" s="85"/>
      <c r="B85" s="86"/>
      <c r="C85" s="86"/>
      <c r="D85" s="87"/>
      <c r="E85" s="87"/>
      <c r="F85" s="87"/>
      <c r="G85" s="87"/>
      <c r="H85" s="87"/>
      <c r="I85" s="87"/>
      <c r="J85" s="87"/>
      <c r="K85" s="87"/>
      <c r="L85" s="87"/>
      <c r="M85" s="87"/>
      <c r="N85" s="87"/>
      <c r="O85" s="87"/>
      <c r="P85" s="88"/>
    </row>
    <row r="86" spans="1:16">
      <c r="A86" s="85"/>
      <c r="B86" s="86"/>
      <c r="C86" s="86"/>
      <c r="D86" s="87"/>
      <c r="E86" s="87"/>
      <c r="F86" s="87"/>
      <c r="G86" s="87"/>
      <c r="H86" s="87"/>
      <c r="I86" s="87"/>
      <c r="J86" s="87"/>
      <c r="K86" s="87"/>
      <c r="L86" s="87"/>
      <c r="M86" s="87"/>
      <c r="N86" s="87"/>
      <c r="O86" s="87"/>
      <c r="P86" s="88"/>
    </row>
    <row r="87" spans="1:16">
      <c r="A87" s="85"/>
      <c r="B87" s="86"/>
      <c r="C87" s="86"/>
      <c r="D87" s="87"/>
      <c r="E87" s="87"/>
      <c r="F87" s="87"/>
      <c r="G87" s="87"/>
      <c r="H87" s="87"/>
      <c r="I87" s="87"/>
      <c r="J87" s="87"/>
      <c r="K87" s="87"/>
      <c r="L87" s="87"/>
      <c r="M87" s="87"/>
      <c r="N87" s="87"/>
      <c r="O87" s="87"/>
      <c r="P87" s="88"/>
    </row>
    <row r="88" spans="1:16">
      <c r="A88" s="85"/>
      <c r="B88" s="86"/>
      <c r="C88" s="86"/>
      <c r="D88" s="87"/>
      <c r="E88" s="87"/>
      <c r="F88" s="87"/>
      <c r="G88" s="87"/>
      <c r="H88" s="87"/>
      <c r="I88" s="87"/>
      <c r="J88" s="87"/>
      <c r="K88" s="87"/>
      <c r="L88" s="87"/>
      <c r="M88" s="87"/>
      <c r="N88" s="87"/>
      <c r="O88" s="87"/>
      <c r="P88" s="88"/>
    </row>
    <row r="89" spans="1:16">
      <c r="A89" s="85"/>
      <c r="B89" s="86"/>
      <c r="C89" s="86"/>
      <c r="D89" s="87"/>
      <c r="E89" s="87"/>
      <c r="F89" s="87"/>
      <c r="G89" s="87"/>
      <c r="H89" s="87"/>
      <c r="I89" s="87"/>
      <c r="J89" s="87"/>
      <c r="K89" s="87"/>
      <c r="L89" s="87"/>
      <c r="M89" s="87"/>
      <c r="N89" s="87"/>
      <c r="O89" s="87"/>
      <c r="P89" s="88"/>
    </row>
    <row r="90" spans="1:16">
      <c r="A90" s="85"/>
      <c r="B90" s="86"/>
      <c r="C90" s="86"/>
      <c r="D90" s="87"/>
      <c r="E90" s="87"/>
      <c r="F90" s="87"/>
      <c r="G90" s="87"/>
      <c r="H90" s="87"/>
      <c r="I90" s="87"/>
      <c r="J90" s="87"/>
      <c r="K90" s="87"/>
      <c r="L90" s="87"/>
      <c r="M90" s="87"/>
      <c r="N90" s="87"/>
      <c r="O90" s="87"/>
      <c r="P90" s="88"/>
    </row>
    <row r="91" spans="1:16">
      <c r="A91" s="85"/>
      <c r="B91" s="86"/>
      <c r="C91" s="86"/>
      <c r="D91" s="87"/>
      <c r="E91" s="87"/>
      <c r="F91" s="87"/>
      <c r="G91" s="87"/>
      <c r="H91" s="87"/>
      <c r="I91" s="87"/>
      <c r="J91" s="87"/>
      <c r="K91" s="87"/>
      <c r="L91" s="87"/>
      <c r="M91" s="87"/>
      <c r="N91" s="87"/>
      <c r="O91" s="87"/>
      <c r="P91" s="88"/>
    </row>
    <row r="92" spans="1:16">
      <c r="A92" s="85"/>
      <c r="B92" s="86"/>
      <c r="C92" s="86"/>
      <c r="D92" s="87"/>
      <c r="E92" s="87"/>
      <c r="F92" s="87"/>
      <c r="G92" s="87"/>
      <c r="H92" s="87"/>
      <c r="I92" s="87"/>
      <c r="J92" s="87"/>
      <c r="K92" s="87"/>
      <c r="L92" s="87"/>
      <c r="M92" s="87"/>
      <c r="N92" s="87"/>
      <c r="O92" s="87"/>
      <c r="P92" s="88"/>
    </row>
    <row r="93" spans="1:16">
      <c r="A93" s="85"/>
      <c r="B93" s="86"/>
      <c r="C93" s="86"/>
      <c r="D93" s="87"/>
      <c r="E93" s="87"/>
      <c r="F93" s="87"/>
      <c r="G93" s="87"/>
      <c r="H93" s="87"/>
      <c r="I93" s="87"/>
      <c r="J93" s="87"/>
      <c r="K93" s="87"/>
      <c r="L93" s="87"/>
      <c r="M93" s="87"/>
      <c r="N93" s="87"/>
      <c r="O93" s="87"/>
      <c r="P93" s="88"/>
    </row>
    <row r="94" spans="1:16">
      <c r="A94" s="85"/>
      <c r="B94" s="86"/>
      <c r="C94" s="86"/>
      <c r="D94" s="87"/>
      <c r="E94" s="87"/>
      <c r="F94" s="87"/>
      <c r="G94" s="87"/>
      <c r="H94" s="87"/>
      <c r="I94" s="87"/>
      <c r="J94" s="87"/>
      <c r="K94" s="87"/>
      <c r="L94" s="87"/>
      <c r="M94" s="87"/>
      <c r="N94" s="87"/>
      <c r="O94" s="87"/>
      <c r="P94" s="88"/>
    </row>
    <row r="95" spans="1:16">
      <c r="A95" s="85"/>
      <c r="B95" s="86"/>
      <c r="C95" s="86"/>
      <c r="D95" s="87"/>
      <c r="E95" s="87"/>
      <c r="F95" s="87"/>
      <c r="G95" s="87"/>
      <c r="H95" s="87"/>
      <c r="I95" s="87"/>
      <c r="J95" s="87"/>
      <c r="K95" s="87"/>
      <c r="L95" s="87"/>
      <c r="M95" s="87"/>
      <c r="N95" s="87"/>
      <c r="O95" s="87"/>
      <c r="P95" s="88"/>
    </row>
    <row r="96" spans="1:16">
      <c r="A96" s="85"/>
      <c r="B96" s="86"/>
      <c r="C96" s="86"/>
      <c r="D96" s="87"/>
      <c r="E96" s="87"/>
      <c r="F96" s="87"/>
      <c r="G96" s="87"/>
      <c r="H96" s="87"/>
      <c r="I96" s="87"/>
      <c r="J96" s="87"/>
      <c r="K96" s="87"/>
      <c r="L96" s="87"/>
      <c r="M96" s="87"/>
      <c r="N96" s="87"/>
      <c r="O96" s="87"/>
      <c r="P96" s="88"/>
    </row>
    <row r="97" spans="1:16">
      <c r="A97" s="85"/>
      <c r="B97" s="86"/>
      <c r="C97" s="86"/>
      <c r="D97" s="87"/>
      <c r="E97" s="87"/>
      <c r="F97" s="87"/>
      <c r="G97" s="87"/>
      <c r="H97" s="87"/>
      <c r="I97" s="87"/>
      <c r="J97" s="87"/>
      <c r="K97" s="87"/>
      <c r="L97" s="87"/>
      <c r="M97" s="87"/>
      <c r="N97" s="87"/>
      <c r="O97" s="87"/>
      <c r="P97" s="88"/>
    </row>
    <row r="98" spans="1:16">
      <c r="A98" s="85"/>
      <c r="B98" s="86"/>
      <c r="C98" s="86"/>
      <c r="D98" s="87"/>
      <c r="E98" s="87"/>
      <c r="F98" s="87"/>
      <c r="G98" s="87"/>
      <c r="H98" s="87"/>
      <c r="I98" s="87"/>
      <c r="J98" s="87"/>
      <c r="K98" s="87"/>
      <c r="L98" s="87"/>
      <c r="M98" s="87"/>
      <c r="N98" s="87"/>
      <c r="O98" s="87"/>
      <c r="P98" s="88"/>
    </row>
    <row r="99" spans="1:16">
      <c r="A99" s="85"/>
      <c r="B99" s="86"/>
      <c r="C99" s="86"/>
      <c r="D99" s="87"/>
      <c r="E99" s="87"/>
      <c r="F99" s="87"/>
      <c r="G99" s="87"/>
      <c r="H99" s="87"/>
      <c r="I99" s="87"/>
      <c r="J99" s="87"/>
      <c r="K99" s="87"/>
      <c r="L99" s="87"/>
      <c r="M99" s="87"/>
      <c r="N99" s="87"/>
      <c r="O99" s="87"/>
      <c r="P99" s="88"/>
    </row>
    <row r="100" spans="1:16">
      <c r="A100" s="85"/>
      <c r="B100" s="86"/>
      <c r="C100" s="86"/>
      <c r="D100" s="87"/>
      <c r="E100" s="87"/>
      <c r="F100" s="87"/>
      <c r="G100" s="87"/>
      <c r="H100" s="87"/>
      <c r="I100" s="87"/>
      <c r="J100" s="87"/>
      <c r="K100" s="87"/>
      <c r="L100" s="87"/>
      <c r="M100" s="87"/>
      <c r="N100" s="87"/>
      <c r="O100" s="87"/>
      <c r="P100" s="88"/>
    </row>
    <row r="101" spans="1:16">
      <c r="A101" s="85"/>
      <c r="B101" s="86"/>
      <c r="C101" s="86"/>
      <c r="D101" s="87"/>
      <c r="E101" s="87"/>
      <c r="F101" s="87"/>
      <c r="G101" s="87"/>
      <c r="H101" s="87"/>
      <c r="I101" s="87"/>
      <c r="J101" s="87"/>
      <c r="K101" s="87"/>
      <c r="L101" s="87"/>
      <c r="M101" s="87"/>
      <c r="N101" s="87"/>
      <c r="O101" s="87"/>
      <c r="P101" s="88"/>
    </row>
    <row r="102" spans="1:16">
      <c r="A102" s="85"/>
      <c r="B102" s="86"/>
      <c r="C102" s="86"/>
      <c r="D102" s="87"/>
      <c r="E102" s="87"/>
      <c r="F102" s="87"/>
      <c r="G102" s="87"/>
      <c r="H102" s="87"/>
      <c r="I102" s="87"/>
      <c r="J102" s="87"/>
      <c r="K102" s="87"/>
      <c r="L102" s="87"/>
      <c r="M102" s="87"/>
      <c r="N102" s="87"/>
      <c r="O102" s="87"/>
      <c r="P102" s="88"/>
    </row>
    <row r="103" spans="1:16">
      <c r="A103" s="85"/>
      <c r="B103" s="86"/>
      <c r="C103" s="86"/>
      <c r="D103" s="87"/>
      <c r="E103" s="87"/>
      <c r="F103" s="87"/>
      <c r="G103" s="87"/>
      <c r="H103" s="87"/>
      <c r="I103" s="87"/>
      <c r="J103" s="87"/>
      <c r="K103" s="87"/>
      <c r="L103" s="87"/>
      <c r="M103" s="87"/>
      <c r="N103" s="87"/>
      <c r="O103" s="87"/>
      <c r="P103" s="88"/>
    </row>
    <row r="104" spans="1:16">
      <c r="A104" s="85"/>
      <c r="B104" s="86"/>
      <c r="C104" s="86"/>
      <c r="D104" s="87"/>
      <c r="E104" s="87"/>
      <c r="F104" s="87"/>
      <c r="G104" s="87"/>
      <c r="H104" s="87"/>
      <c r="I104" s="87"/>
      <c r="J104" s="87"/>
      <c r="K104" s="87"/>
      <c r="L104" s="87"/>
      <c r="M104" s="87"/>
      <c r="N104" s="87"/>
      <c r="O104" s="87"/>
      <c r="P104" s="88"/>
    </row>
    <row r="105" spans="1:16">
      <c r="A105" s="85"/>
      <c r="B105" s="86"/>
      <c r="C105" s="86"/>
      <c r="D105" s="87"/>
      <c r="E105" s="87"/>
      <c r="F105" s="87"/>
      <c r="G105" s="87"/>
      <c r="H105" s="87"/>
      <c r="I105" s="87"/>
      <c r="J105" s="87"/>
      <c r="K105" s="87"/>
      <c r="L105" s="87"/>
      <c r="M105" s="87"/>
      <c r="N105" s="87"/>
      <c r="O105" s="87"/>
      <c r="P105" s="88"/>
    </row>
    <row r="106" spans="1:16">
      <c r="A106" s="85"/>
      <c r="B106" s="86"/>
      <c r="C106" s="86"/>
      <c r="D106" s="87"/>
      <c r="E106" s="87"/>
      <c r="F106" s="87"/>
      <c r="G106" s="87"/>
      <c r="H106" s="87"/>
      <c r="I106" s="87"/>
      <c r="J106" s="87"/>
      <c r="K106" s="87"/>
      <c r="L106" s="87"/>
      <c r="M106" s="87"/>
      <c r="N106" s="87"/>
      <c r="O106" s="87"/>
      <c r="P106" s="88"/>
    </row>
    <row r="107" spans="1:16">
      <c r="A107" s="85"/>
      <c r="B107" s="86"/>
      <c r="C107" s="86"/>
      <c r="D107" s="87"/>
      <c r="E107" s="87"/>
      <c r="F107" s="87"/>
      <c r="G107" s="87"/>
      <c r="H107" s="87"/>
      <c r="I107" s="87"/>
      <c r="J107" s="87"/>
      <c r="K107" s="87"/>
      <c r="L107" s="87"/>
      <c r="M107" s="87"/>
      <c r="N107" s="87"/>
      <c r="O107" s="87"/>
      <c r="P107" s="88"/>
    </row>
    <row r="108" spans="1:16">
      <c r="A108" s="85"/>
      <c r="B108" s="86"/>
      <c r="C108" s="86"/>
      <c r="D108" s="87"/>
      <c r="E108" s="87"/>
      <c r="F108" s="87"/>
      <c r="G108" s="87"/>
      <c r="H108" s="87"/>
      <c r="I108" s="87"/>
      <c r="J108" s="87"/>
      <c r="K108" s="87"/>
      <c r="L108" s="87"/>
      <c r="M108" s="87"/>
      <c r="N108" s="87"/>
      <c r="O108" s="87"/>
      <c r="P108" s="88"/>
    </row>
    <row r="109" spans="1:16">
      <c r="A109" s="85"/>
      <c r="B109" s="86"/>
      <c r="C109" s="86"/>
      <c r="D109" s="87"/>
      <c r="E109" s="87"/>
      <c r="F109" s="87"/>
      <c r="G109" s="87"/>
      <c r="H109" s="87"/>
      <c r="I109" s="87"/>
      <c r="J109" s="87"/>
      <c r="K109" s="87"/>
      <c r="L109" s="87"/>
      <c r="M109" s="87"/>
      <c r="N109" s="87"/>
      <c r="O109" s="87"/>
      <c r="P109" s="88"/>
    </row>
    <row r="110" spans="1:16">
      <c r="A110" s="85"/>
      <c r="B110" s="86"/>
      <c r="C110" s="86"/>
      <c r="D110" s="87"/>
      <c r="E110" s="87"/>
      <c r="F110" s="87"/>
      <c r="G110" s="87"/>
      <c r="H110" s="87"/>
      <c r="I110" s="87"/>
      <c r="J110" s="87"/>
      <c r="K110" s="87"/>
      <c r="L110" s="87"/>
      <c r="M110" s="87"/>
      <c r="N110" s="87"/>
      <c r="O110" s="87"/>
      <c r="P110" s="88"/>
    </row>
    <row r="111" spans="1:16">
      <c r="A111" s="85"/>
      <c r="B111" s="86"/>
      <c r="C111" s="86"/>
      <c r="D111" s="87"/>
      <c r="E111" s="87"/>
      <c r="F111" s="87"/>
      <c r="G111" s="87"/>
      <c r="H111" s="87"/>
      <c r="I111" s="87"/>
      <c r="J111" s="87"/>
      <c r="K111" s="87"/>
      <c r="L111" s="87"/>
      <c r="M111" s="87"/>
      <c r="N111" s="87"/>
      <c r="O111" s="87"/>
      <c r="P111" s="88"/>
    </row>
    <row r="112" spans="1:16">
      <c r="A112" s="85"/>
      <c r="B112" s="86"/>
      <c r="C112" s="86"/>
      <c r="D112" s="87"/>
      <c r="E112" s="87"/>
      <c r="F112" s="87"/>
      <c r="G112" s="87"/>
      <c r="H112" s="87"/>
      <c r="I112" s="87"/>
      <c r="J112" s="87"/>
      <c r="K112" s="87"/>
      <c r="L112" s="87"/>
      <c r="M112" s="87"/>
      <c r="N112" s="87"/>
      <c r="O112" s="87"/>
      <c r="P112" s="88"/>
    </row>
    <row r="113" spans="1:16">
      <c r="A113" s="85"/>
      <c r="B113" s="86"/>
      <c r="C113" s="86"/>
      <c r="D113" s="87"/>
      <c r="E113" s="87"/>
      <c r="F113" s="87"/>
      <c r="G113" s="87"/>
      <c r="H113" s="87"/>
      <c r="I113" s="87"/>
      <c r="J113" s="87"/>
      <c r="K113" s="87"/>
      <c r="L113" s="87"/>
      <c r="M113" s="87"/>
      <c r="N113" s="87"/>
      <c r="O113" s="87"/>
      <c r="P113" s="88"/>
    </row>
    <row r="114" spans="1:16">
      <c r="A114" s="85"/>
      <c r="B114" s="86"/>
      <c r="C114" s="86"/>
      <c r="D114" s="87"/>
      <c r="E114" s="87"/>
      <c r="F114" s="87"/>
      <c r="G114" s="87"/>
      <c r="H114" s="87"/>
      <c r="I114" s="87"/>
      <c r="J114" s="87"/>
      <c r="K114" s="87"/>
      <c r="L114" s="87"/>
      <c r="M114" s="87"/>
      <c r="N114" s="87"/>
      <c r="O114" s="87"/>
      <c r="P114" s="88"/>
    </row>
    <row r="115" spans="1:16">
      <c r="A115" s="85"/>
      <c r="B115" s="86"/>
      <c r="C115" s="86"/>
      <c r="D115" s="87"/>
      <c r="E115" s="87"/>
      <c r="F115" s="87"/>
      <c r="G115" s="87"/>
      <c r="H115" s="87"/>
      <c r="I115" s="87"/>
      <c r="J115" s="87"/>
      <c r="K115" s="87"/>
      <c r="L115" s="87"/>
      <c r="M115" s="87"/>
      <c r="N115" s="87"/>
      <c r="O115" s="87"/>
      <c r="P115" s="88"/>
    </row>
    <row r="116" spans="1:16">
      <c r="A116" s="85"/>
      <c r="B116" s="86"/>
      <c r="C116" s="86"/>
      <c r="D116" s="87"/>
      <c r="E116" s="87"/>
      <c r="F116" s="87"/>
      <c r="G116" s="87"/>
      <c r="H116" s="87"/>
      <c r="I116" s="87"/>
      <c r="J116" s="87"/>
      <c r="K116" s="87"/>
      <c r="L116" s="87"/>
      <c r="M116" s="87"/>
      <c r="N116" s="87"/>
      <c r="O116" s="87"/>
      <c r="P116" s="88"/>
    </row>
    <row r="117" spans="1:16">
      <c r="A117" s="85"/>
      <c r="B117" s="86"/>
      <c r="C117" s="86"/>
      <c r="D117" s="87"/>
      <c r="E117" s="87"/>
      <c r="F117" s="87"/>
      <c r="G117" s="87"/>
      <c r="H117" s="87"/>
      <c r="I117" s="87"/>
      <c r="J117" s="87"/>
      <c r="K117" s="87"/>
      <c r="L117" s="87"/>
      <c r="M117" s="87"/>
      <c r="N117" s="87"/>
      <c r="O117" s="87"/>
      <c r="P117" s="88"/>
    </row>
    <row r="118" spans="1:16">
      <c r="A118" s="85"/>
      <c r="B118" s="86"/>
      <c r="C118" s="86"/>
      <c r="D118" s="87"/>
      <c r="E118" s="87"/>
      <c r="F118" s="87"/>
      <c r="G118" s="87"/>
      <c r="H118" s="87"/>
      <c r="I118" s="87"/>
      <c r="J118" s="87"/>
      <c r="K118" s="87"/>
      <c r="L118" s="87"/>
      <c r="M118" s="87"/>
      <c r="N118" s="87"/>
      <c r="O118" s="87"/>
      <c r="P118" s="88"/>
    </row>
    <row r="119" spans="1:16">
      <c r="A119" s="85"/>
      <c r="B119" s="86"/>
      <c r="C119" s="86"/>
      <c r="D119" s="87"/>
      <c r="E119" s="87"/>
      <c r="F119" s="87"/>
      <c r="G119" s="87"/>
      <c r="H119" s="87"/>
      <c r="I119" s="87"/>
      <c r="J119" s="87"/>
      <c r="K119" s="87"/>
      <c r="L119" s="87"/>
      <c r="M119" s="87"/>
      <c r="N119" s="87"/>
      <c r="O119" s="87"/>
      <c r="P119" s="88"/>
    </row>
    <row r="120" spans="1:16">
      <c r="A120" s="85"/>
      <c r="B120" s="86"/>
      <c r="C120" s="86"/>
      <c r="D120" s="87"/>
      <c r="E120" s="87"/>
      <c r="F120" s="87"/>
      <c r="G120" s="87"/>
      <c r="H120" s="87"/>
      <c r="I120" s="87"/>
      <c r="J120" s="87"/>
      <c r="K120" s="87"/>
      <c r="L120" s="87"/>
      <c r="M120" s="87"/>
      <c r="N120" s="87"/>
      <c r="O120" s="87"/>
      <c r="P120" s="88"/>
    </row>
    <row r="121" spans="1:16">
      <c r="A121" s="85"/>
      <c r="B121" s="86"/>
      <c r="C121" s="86"/>
      <c r="D121" s="87"/>
      <c r="E121" s="87"/>
      <c r="F121" s="87"/>
      <c r="G121" s="87"/>
      <c r="H121" s="87"/>
      <c r="I121" s="87"/>
      <c r="J121" s="87"/>
      <c r="K121" s="87"/>
      <c r="L121" s="87"/>
      <c r="M121" s="87"/>
      <c r="N121" s="87"/>
      <c r="O121" s="87"/>
      <c r="P121" s="88"/>
    </row>
    <row r="122" spans="1:16">
      <c r="A122" s="85"/>
      <c r="B122" s="86"/>
      <c r="C122" s="86"/>
      <c r="D122" s="87"/>
      <c r="E122" s="87"/>
      <c r="F122" s="87"/>
      <c r="G122" s="87"/>
      <c r="H122" s="87"/>
      <c r="I122" s="87"/>
      <c r="J122" s="87"/>
      <c r="K122" s="87"/>
      <c r="L122" s="87"/>
      <c r="M122" s="87"/>
      <c r="N122" s="87"/>
      <c r="O122" s="87"/>
      <c r="P122" s="88"/>
    </row>
    <row r="123" spans="1:16">
      <c r="A123" s="85"/>
      <c r="B123" s="86"/>
      <c r="C123" s="86"/>
      <c r="D123" s="87"/>
      <c r="E123" s="87"/>
      <c r="F123" s="87"/>
      <c r="G123" s="87"/>
      <c r="H123" s="87"/>
      <c r="I123" s="87"/>
      <c r="J123" s="87"/>
      <c r="K123" s="87"/>
      <c r="L123" s="87"/>
      <c r="M123" s="87"/>
      <c r="N123" s="87"/>
      <c r="O123" s="87"/>
      <c r="P123" s="88"/>
    </row>
    <row r="124" spans="1:16">
      <c r="A124" s="85"/>
      <c r="B124" s="86"/>
      <c r="C124" s="86"/>
      <c r="D124" s="87"/>
      <c r="E124" s="87"/>
      <c r="F124" s="87"/>
      <c r="G124" s="87"/>
      <c r="H124" s="87"/>
      <c r="I124" s="87"/>
      <c r="J124" s="87"/>
      <c r="K124" s="87"/>
      <c r="L124" s="87"/>
      <c r="M124" s="87"/>
      <c r="N124" s="87"/>
      <c r="O124" s="87"/>
      <c r="P124" s="88"/>
    </row>
    <row r="125" spans="1:16">
      <c r="A125" s="85"/>
      <c r="B125" s="86"/>
      <c r="C125" s="86"/>
      <c r="D125" s="87"/>
      <c r="E125" s="87"/>
      <c r="F125" s="87"/>
      <c r="G125" s="87"/>
      <c r="H125" s="87"/>
      <c r="I125" s="87"/>
      <c r="J125" s="87"/>
      <c r="K125" s="87"/>
      <c r="L125" s="87"/>
      <c r="M125" s="87"/>
      <c r="N125" s="87"/>
      <c r="O125" s="87"/>
      <c r="P125" s="88"/>
    </row>
    <row r="126" spans="1:16">
      <c r="A126" s="85"/>
      <c r="B126" s="86"/>
      <c r="C126" s="86"/>
      <c r="D126" s="87"/>
      <c r="E126" s="87"/>
      <c r="F126" s="87"/>
      <c r="G126" s="87"/>
      <c r="H126" s="87"/>
      <c r="I126" s="87"/>
      <c r="J126" s="87"/>
      <c r="K126" s="87"/>
      <c r="L126" s="87"/>
      <c r="M126" s="87"/>
      <c r="N126" s="87"/>
      <c r="O126" s="87"/>
      <c r="P126" s="88"/>
    </row>
    <row r="127" spans="1:16">
      <c r="A127" s="85"/>
      <c r="B127" s="86"/>
      <c r="C127" s="86"/>
      <c r="D127" s="87"/>
      <c r="E127" s="87"/>
      <c r="F127" s="87"/>
      <c r="G127" s="87"/>
      <c r="H127" s="87"/>
      <c r="I127" s="87"/>
      <c r="J127" s="87"/>
      <c r="K127" s="87"/>
      <c r="L127" s="87"/>
      <c r="M127" s="87"/>
      <c r="N127" s="87"/>
      <c r="O127" s="87"/>
      <c r="P127" s="88"/>
    </row>
    <row r="128" spans="1:16">
      <c r="A128" s="85"/>
      <c r="B128" s="86"/>
      <c r="C128" s="86"/>
      <c r="D128" s="87"/>
      <c r="E128" s="87"/>
      <c r="F128" s="87"/>
      <c r="G128" s="87"/>
      <c r="H128" s="87"/>
      <c r="I128" s="87"/>
      <c r="J128" s="87"/>
      <c r="K128" s="87"/>
      <c r="L128" s="87"/>
      <c r="M128" s="87"/>
      <c r="N128" s="87"/>
      <c r="O128" s="87"/>
      <c r="P128" s="88"/>
    </row>
    <row r="129" spans="1:16">
      <c r="A129" s="85"/>
      <c r="B129" s="86"/>
      <c r="C129" s="86"/>
      <c r="D129" s="87"/>
      <c r="E129" s="87"/>
      <c r="F129" s="87"/>
      <c r="G129" s="87"/>
      <c r="H129" s="87"/>
      <c r="I129" s="87"/>
      <c r="J129" s="87"/>
      <c r="K129" s="87"/>
      <c r="L129" s="87"/>
      <c r="M129" s="87"/>
      <c r="N129" s="87"/>
      <c r="O129" s="87"/>
      <c r="P129" s="88"/>
    </row>
    <row r="130" spans="1:16">
      <c r="A130" s="85"/>
      <c r="B130" s="86"/>
      <c r="C130" s="86"/>
      <c r="D130" s="87"/>
      <c r="E130" s="87"/>
      <c r="F130" s="87"/>
      <c r="G130" s="87"/>
      <c r="H130" s="87"/>
      <c r="I130" s="87"/>
      <c r="J130" s="87"/>
      <c r="K130" s="87"/>
      <c r="L130" s="87"/>
      <c r="M130" s="87"/>
      <c r="N130" s="87"/>
      <c r="O130" s="87"/>
      <c r="P130" s="88"/>
    </row>
    <row r="131" spans="1:16">
      <c r="A131" s="85"/>
      <c r="B131" s="86"/>
      <c r="C131" s="86"/>
      <c r="D131" s="87"/>
      <c r="E131" s="87"/>
      <c r="F131" s="87"/>
      <c r="G131" s="87"/>
      <c r="H131" s="87"/>
      <c r="I131" s="87"/>
      <c r="J131" s="87"/>
      <c r="K131" s="87"/>
      <c r="L131" s="87"/>
      <c r="M131" s="87"/>
      <c r="N131" s="87"/>
      <c r="O131" s="87"/>
      <c r="P131" s="88"/>
    </row>
    <row r="132" spans="1:16">
      <c r="A132" s="85"/>
      <c r="B132" s="86"/>
      <c r="C132" s="86"/>
      <c r="D132" s="87"/>
      <c r="E132" s="87"/>
      <c r="F132" s="87"/>
      <c r="G132" s="87"/>
      <c r="H132" s="87"/>
      <c r="I132" s="87"/>
      <c r="J132" s="87"/>
      <c r="K132" s="87"/>
      <c r="L132" s="87"/>
      <c r="M132" s="87"/>
      <c r="N132" s="87"/>
      <c r="O132" s="87"/>
      <c r="P132" s="88"/>
    </row>
    <row r="133" spans="1:16">
      <c r="A133" s="85"/>
      <c r="B133" s="86"/>
      <c r="C133" s="86"/>
      <c r="D133" s="87"/>
      <c r="E133" s="87"/>
      <c r="F133" s="87"/>
      <c r="G133" s="87"/>
      <c r="H133" s="87"/>
      <c r="I133" s="87"/>
      <c r="J133" s="87"/>
      <c r="K133" s="87"/>
      <c r="L133" s="87"/>
      <c r="M133" s="87"/>
      <c r="N133" s="87"/>
      <c r="O133" s="87"/>
      <c r="P133" s="88"/>
    </row>
    <row r="134" spans="1:16">
      <c r="A134" s="85"/>
      <c r="B134" s="86"/>
      <c r="C134" s="86"/>
      <c r="D134" s="87"/>
      <c r="E134" s="87"/>
      <c r="F134" s="87"/>
      <c r="G134" s="87"/>
      <c r="H134" s="87"/>
      <c r="I134" s="87"/>
      <c r="J134" s="87"/>
      <c r="K134" s="87"/>
      <c r="L134" s="87"/>
      <c r="M134" s="87"/>
      <c r="N134" s="87"/>
      <c r="O134" s="87"/>
      <c r="P134" s="88"/>
    </row>
    <row r="135" spans="1:16">
      <c r="A135" s="85"/>
      <c r="B135" s="86"/>
      <c r="C135" s="86"/>
      <c r="D135" s="87"/>
      <c r="E135" s="87"/>
      <c r="F135" s="87"/>
      <c r="G135" s="87"/>
      <c r="H135" s="87"/>
      <c r="I135" s="87"/>
      <c r="J135" s="87"/>
      <c r="K135" s="87"/>
      <c r="L135" s="87"/>
      <c r="M135" s="87"/>
      <c r="N135" s="87"/>
      <c r="O135" s="87"/>
      <c r="P135" s="88"/>
    </row>
    <row r="136" spans="1:16">
      <c r="A136" s="85"/>
      <c r="B136" s="86"/>
      <c r="C136" s="86"/>
      <c r="D136" s="87"/>
      <c r="E136" s="87"/>
      <c r="F136" s="87"/>
      <c r="G136" s="87"/>
      <c r="H136" s="87"/>
      <c r="I136" s="87"/>
      <c r="J136" s="87"/>
      <c r="K136" s="87"/>
      <c r="L136" s="87"/>
      <c r="M136" s="87"/>
      <c r="N136" s="87"/>
      <c r="O136" s="87"/>
      <c r="P136" s="88"/>
    </row>
    <row r="137" spans="1:16">
      <c r="A137" s="85"/>
      <c r="B137" s="86"/>
      <c r="C137" s="86"/>
      <c r="D137" s="87"/>
      <c r="E137" s="87"/>
      <c r="F137" s="87"/>
      <c r="G137" s="87"/>
      <c r="H137" s="87"/>
      <c r="I137" s="87"/>
      <c r="J137" s="87"/>
      <c r="K137" s="87"/>
      <c r="L137" s="87"/>
      <c r="M137" s="87"/>
      <c r="N137" s="87"/>
      <c r="O137" s="87"/>
      <c r="P137" s="88"/>
    </row>
    <row r="138" spans="1:16">
      <c r="A138" s="85"/>
      <c r="B138" s="86"/>
      <c r="C138" s="86"/>
      <c r="D138" s="87"/>
      <c r="E138" s="87"/>
      <c r="F138" s="87"/>
      <c r="G138" s="87"/>
      <c r="H138" s="87"/>
      <c r="I138" s="87"/>
      <c r="J138" s="87"/>
      <c r="K138" s="87"/>
      <c r="L138" s="87"/>
      <c r="M138" s="87"/>
      <c r="N138" s="87"/>
      <c r="O138" s="87"/>
      <c r="P138" s="88"/>
    </row>
    <row r="139" spans="1:16">
      <c r="A139" s="85"/>
      <c r="B139" s="86"/>
      <c r="C139" s="86"/>
      <c r="D139" s="87"/>
      <c r="E139" s="87"/>
      <c r="F139" s="87"/>
      <c r="G139" s="87"/>
      <c r="H139" s="87"/>
      <c r="I139" s="87"/>
      <c r="J139" s="87"/>
      <c r="K139" s="87"/>
      <c r="L139" s="87"/>
      <c r="M139" s="87"/>
      <c r="N139" s="87"/>
      <c r="O139" s="87"/>
      <c r="P139" s="88"/>
    </row>
    <row r="140" spans="1:16">
      <c r="A140" s="85"/>
      <c r="B140" s="86"/>
      <c r="C140" s="86"/>
      <c r="D140" s="87"/>
      <c r="E140" s="87"/>
      <c r="F140" s="87"/>
      <c r="G140" s="87"/>
      <c r="H140" s="87"/>
      <c r="I140" s="87"/>
      <c r="J140" s="87"/>
      <c r="K140" s="87"/>
      <c r="L140" s="87"/>
      <c r="M140" s="87"/>
      <c r="N140" s="87"/>
      <c r="O140" s="87"/>
      <c r="P140" s="88"/>
    </row>
    <row r="141" spans="1:16">
      <c r="A141" s="85"/>
      <c r="B141" s="86"/>
      <c r="C141" s="86"/>
      <c r="D141" s="87"/>
      <c r="E141" s="87"/>
      <c r="F141" s="87"/>
      <c r="G141" s="87"/>
      <c r="H141" s="87"/>
      <c r="I141" s="87"/>
      <c r="J141" s="87"/>
      <c r="K141" s="87"/>
      <c r="L141" s="87"/>
      <c r="M141" s="87"/>
      <c r="N141" s="87"/>
      <c r="O141" s="87"/>
      <c r="P141" s="88"/>
    </row>
    <row r="142" spans="1:16">
      <c r="A142" s="85"/>
      <c r="B142" s="86"/>
      <c r="C142" s="86"/>
      <c r="D142" s="87"/>
      <c r="E142" s="87"/>
      <c r="F142" s="87"/>
      <c r="G142" s="87"/>
      <c r="H142" s="87"/>
      <c r="I142" s="87"/>
      <c r="J142" s="87"/>
      <c r="K142" s="87"/>
      <c r="L142" s="87"/>
      <c r="M142" s="87"/>
      <c r="N142" s="87"/>
      <c r="O142" s="87"/>
      <c r="P142" s="88"/>
    </row>
    <row r="143" spans="1:16">
      <c r="A143" s="85"/>
      <c r="B143" s="86"/>
      <c r="C143" s="86"/>
      <c r="D143" s="87"/>
      <c r="E143" s="87"/>
      <c r="F143" s="87"/>
      <c r="G143" s="87"/>
      <c r="H143" s="87"/>
      <c r="I143" s="87"/>
      <c r="J143" s="87"/>
      <c r="K143" s="87"/>
      <c r="L143" s="87"/>
      <c r="M143" s="87"/>
      <c r="N143" s="87"/>
      <c r="O143" s="87"/>
      <c r="P143" s="88"/>
    </row>
    <row r="144" spans="1:16">
      <c r="A144" s="85"/>
      <c r="B144" s="86"/>
      <c r="C144" s="86"/>
      <c r="D144" s="87"/>
      <c r="E144" s="87"/>
      <c r="F144" s="87"/>
      <c r="G144" s="87"/>
      <c r="H144" s="87"/>
      <c r="I144" s="87"/>
      <c r="J144" s="87"/>
      <c r="K144" s="87"/>
      <c r="L144" s="87"/>
      <c r="M144" s="87"/>
      <c r="N144" s="87"/>
      <c r="O144" s="87"/>
      <c r="P144" s="88"/>
    </row>
    <row r="145" spans="1:16">
      <c r="A145" s="85"/>
      <c r="B145" s="86"/>
      <c r="C145" s="86"/>
      <c r="D145" s="87"/>
      <c r="E145" s="87"/>
      <c r="F145" s="87"/>
      <c r="G145" s="87"/>
      <c r="H145" s="87"/>
      <c r="I145" s="87"/>
      <c r="J145" s="87"/>
      <c r="K145" s="87"/>
      <c r="L145" s="87"/>
      <c r="M145" s="87"/>
      <c r="N145" s="87"/>
      <c r="O145" s="87"/>
      <c r="P145" s="88"/>
    </row>
    <row r="146" spans="1:16">
      <c r="A146" s="85"/>
      <c r="B146" s="86"/>
      <c r="C146" s="86"/>
      <c r="D146" s="87"/>
      <c r="E146" s="87"/>
      <c r="F146" s="87"/>
      <c r="G146" s="87"/>
      <c r="H146" s="87"/>
      <c r="I146" s="87"/>
      <c r="J146" s="87"/>
      <c r="K146" s="87"/>
      <c r="L146" s="87"/>
      <c r="M146" s="87"/>
      <c r="N146" s="87"/>
      <c r="O146" s="87"/>
      <c r="P146" s="88"/>
    </row>
    <row r="147" spans="1:16">
      <c r="A147" s="85"/>
      <c r="B147" s="86"/>
      <c r="C147" s="86"/>
      <c r="D147" s="87"/>
      <c r="E147" s="87"/>
      <c r="F147" s="87"/>
      <c r="G147" s="87"/>
      <c r="H147" s="87"/>
      <c r="I147" s="87"/>
      <c r="J147" s="87"/>
      <c r="K147" s="87"/>
      <c r="L147" s="87"/>
      <c r="M147" s="87"/>
      <c r="N147" s="87"/>
      <c r="O147" s="87"/>
      <c r="P147" s="88"/>
    </row>
    <row r="148" spans="1:16">
      <c r="A148" s="85"/>
      <c r="B148" s="86"/>
      <c r="C148" s="86"/>
      <c r="D148" s="87"/>
      <c r="E148" s="87"/>
      <c r="F148" s="87"/>
      <c r="G148" s="87"/>
      <c r="H148" s="87"/>
      <c r="I148" s="87"/>
      <c r="J148" s="87"/>
      <c r="K148" s="87"/>
      <c r="L148" s="87"/>
      <c r="M148" s="87"/>
      <c r="N148" s="87"/>
      <c r="O148" s="87"/>
      <c r="P148" s="88"/>
    </row>
    <row r="149" spans="1:16">
      <c r="A149" s="85"/>
      <c r="B149" s="86"/>
      <c r="C149" s="86"/>
      <c r="D149" s="87"/>
      <c r="E149" s="87"/>
      <c r="F149" s="87"/>
      <c r="G149" s="87"/>
      <c r="H149" s="87"/>
      <c r="I149" s="87"/>
      <c r="J149" s="87"/>
      <c r="K149" s="87"/>
      <c r="L149" s="87"/>
      <c r="M149" s="87"/>
      <c r="N149" s="87"/>
      <c r="O149" s="87"/>
      <c r="P149" s="88"/>
    </row>
    <row r="150" spans="1:16">
      <c r="A150" s="85"/>
      <c r="B150" s="86"/>
      <c r="C150" s="86"/>
      <c r="D150" s="87"/>
      <c r="E150" s="87"/>
      <c r="F150" s="87"/>
      <c r="G150" s="87"/>
      <c r="H150" s="87"/>
      <c r="I150" s="87"/>
      <c r="J150" s="87"/>
      <c r="K150" s="87"/>
      <c r="L150" s="87"/>
      <c r="M150" s="87"/>
      <c r="N150" s="87"/>
      <c r="O150" s="87"/>
      <c r="P150" s="88"/>
    </row>
    <row r="151" spans="1:16">
      <c r="A151" s="85"/>
      <c r="B151" s="86"/>
      <c r="C151" s="86"/>
      <c r="D151" s="87"/>
      <c r="E151" s="87"/>
      <c r="F151" s="87"/>
      <c r="G151" s="87"/>
      <c r="H151" s="87"/>
      <c r="I151" s="87"/>
      <c r="J151" s="87"/>
      <c r="K151" s="87"/>
      <c r="L151" s="87"/>
      <c r="M151" s="87"/>
      <c r="N151" s="87"/>
      <c r="O151" s="87"/>
      <c r="P151" s="88"/>
    </row>
    <row r="152" spans="1:16">
      <c r="A152" s="85"/>
      <c r="B152" s="86"/>
      <c r="C152" s="86"/>
      <c r="D152" s="87"/>
      <c r="E152" s="87"/>
      <c r="F152" s="87"/>
      <c r="G152" s="87"/>
      <c r="H152" s="87"/>
      <c r="I152" s="87"/>
      <c r="J152" s="87"/>
      <c r="K152" s="87"/>
      <c r="L152" s="87"/>
      <c r="M152" s="87"/>
      <c r="N152" s="87"/>
      <c r="O152" s="87"/>
      <c r="P152" s="88"/>
    </row>
    <row r="153" spans="1:16">
      <c r="A153" s="85"/>
      <c r="B153" s="86"/>
      <c r="C153" s="86"/>
      <c r="D153" s="87"/>
      <c r="E153" s="87"/>
      <c r="F153" s="87"/>
      <c r="G153" s="87"/>
      <c r="H153" s="87"/>
      <c r="I153" s="87"/>
      <c r="J153" s="87"/>
      <c r="K153" s="87"/>
      <c r="L153" s="87"/>
      <c r="M153" s="87"/>
      <c r="N153" s="87"/>
      <c r="O153" s="87"/>
      <c r="P153" s="88"/>
    </row>
    <row r="154" spans="1:16">
      <c r="A154" s="85"/>
      <c r="B154" s="86"/>
      <c r="C154" s="86"/>
      <c r="D154" s="87"/>
      <c r="E154" s="87"/>
      <c r="F154" s="87"/>
      <c r="G154" s="87"/>
      <c r="H154" s="87"/>
      <c r="I154" s="87"/>
      <c r="J154" s="87"/>
      <c r="K154" s="87"/>
      <c r="L154" s="87"/>
      <c r="M154" s="87"/>
      <c r="N154" s="87"/>
      <c r="O154" s="87"/>
      <c r="P154" s="88"/>
    </row>
    <row r="155" spans="1:16">
      <c r="A155" s="85"/>
      <c r="B155" s="86"/>
      <c r="C155" s="86"/>
      <c r="D155" s="87"/>
      <c r="E155" s="87"/>
      <c r="F155" s="87"/>
      <c r="G155" s="87"/>
      <c r="H155" s="87"/>
      <c r="I155" s="87"/>
      <c r="J155" s="87"/>
      <c r="K155" s="87"/>
      <c r="L155" s="87"/>
      <c r="M155" s="87"/>
      <c r="N155" s="87"/>
      <c r="O155" s="87"/>
      <c r="P155" s="88"/>
    </row>
    <row r="156" spans="1:16">
      <c r="A156" s="85"/>
      <c r="B156" s="86"/>
      <c r="C156" s="86"/>
      <c r="D156" s="87"/>
      <c r="E156" s="87"/>
      <c r="F156" s="87"/>
      <c r="G156" s="87"/>
      <c r="H156" s="87"/>
      <c r="I156" s="87"/>
      <c r="J156" s="87"/>
      <c r="K156" s="87"/>
      <c r="L156" s="87"/>
      <c r="M156" s="87"/>
      <c r="N156" s="87"/>
      <c r="O156" s="87"/>
      <c r="P156" s="88"/>
    </row>
    <row r="157" spans="1:16">
      <c r="A157" s="85"/>
      <c r="B157" s="86"/>
      <c r="C157" s="86"/>
      <c r="D157" s="87"/>
      <c r="E157" s="87"/>
      <c r="F157" s="87"/>
      <c r="G157" s="87"/>
      <c r="H157" s="87"/>
      <c r="I157" s="87"/>
      <c r="J157" s="87"/>
      <c r="K157" s="87"/>
      <c r="L157" s="87"/>
      <c r="M157" s="87"/>
      <c r="N157" s="87"/>
      <c r="O157" s="87"/>
      <c r="P157" s="88"/>
    </row>
    <row r="158" spans="1:16">
      <c r="A158" s="85"/>
      <c r="B158" s="86"/>
      <c r="C158" s="86"/>
      <c r="D158" s="87"/>
      <c r="E158" s="87"/>
      <c r="F158" s="87"/>
      <c r="G158" s="87"/>
      <c r="H158" s="87"/>
      <c r="I158" s="87"/>
      <c r="J158" s="87"/>
      <c r="K158" s="87"/>
      <c r="L158" s="87"/>
      <c r="M158" s="87"/>
      <c r="N158" s="87"/>
      <c r="O158" s="87"/>
      <c r="P158" s="88"/>
    </row>
    <row r="159" spans="1:16">
      <c r="A159" s="85"/>
      <c r="B159" s="86"/>
      <c r="C159" s="86"/>
      <c r="D159" s="87"/>
      <c r="E159" s="87"/>
      <c r="F159" s="87"/>
      <c r="G159" s="87"/>
      <c r="H159" s="87"/>
      <c r="I159" s="87"/>
      <c r="J159" s="87"/>
      <c r="K159" s="87"/>
      <c r="L159" s="87"/>
      <c r="M159" s="87"/>
      <c r="N159" s="87"/>
      <c r="O159" s="87"/>
      <c r="P159" s="88"/>
    </row>
    <row r="160" spans="1:16">
      <c r="A160" s="85"/>
      <c r="B160" s="86"/>
      <c r="C160" s="86"/>
      <c r="D160" s="87"/>
      <c r="E160" s="87"/>
      <c r="F160" s="87"/>
      <c r="G160" s="87"/>
      <c r="H160" s="87"/>
      <c r="I160" s="87"/>
      <c r="J160" s="87"/>
      <c r="K160" s="87"/>
      <c r="L160" s="87"/>
      <c r="M160" s="87"/>
      <c r="N160" s="87"/>
      <c r="O160" s="87"/>
      <c r="P160" s="88"/>
    </row>
    <row r="161" spans="1:16">
      <c r="A161" s="85"/>
      <c r="B161" s="86"/>
      <c r="C161" s="86"/>
      <c r="D161" s="87"/>
      <c r="E161" s="87"/>
      <c r="F161" s="87"/>
      <c r="G161" s="87"/>
      <c r="H161" s="87"/>
      <c r="I161" s="87"/>
      <c r="J161" s="87"/>
      <c r="K161" s="87"/>
      <c r="L161" s="87"/>
      <c r="M161" s="87"/>
      <c r="N161" s="87"/>
      <c r="O161" s="87"/>
      <c r="P161" s="88"/>
    </row>
    <row r="162" spans="1:16">
      <c r="A162" s="85"/>
      <c r="B162" s="86"/>
      <c r="C162" s="86"/>
      <c r="D162" s="87"/>
      <c r="E162" s="87"/>
      <c r="F162" s="87"/>
      <c r="G162" s="87"/>
      <c r="H162" s="87"/>
      <c r="I162" s="87"/>
      <c r="J162" s="87"/>
      <c r="K162" s="87"/>
      <c r="L162" s="87"/>
      <c r="M162" s="87"/>
      <c r="N162" s="87"/>
      <c r="O162" s="87"/>
      <c r="P162" s="88"/>
    </row>
    <row r="163" spans="1:16">
      <c r="A163" s="85"/>
      <c r="B163" s="86"/>
      <c r="C163" s="86"/>
      <c r="D163" s="87"/>
      <c r="E163" s="87"/>
      <c r="F163" s="87"/>
      <c r="G163" s="87"/>
      <c r="H163" s="87"/>
      <c r="I163" s="87"/>
      <c r="J163" s="87"/>
      <c r="K163" s="87"/>
      <c r="L163" s="87"/>
      <c r="M163" s="87"/>
      <c r="N163" s="87"/>
      <c r="O163" s="87"/>
      <c r="P163" s="88"/>
    </row>
    <row r="164" spans="1:16">
      <c r="A164" s="85"/>
      <c r="B164" s="86"/>
      <c r="C164" s="86"/>
      <c r="D164" s="87"/>
      <c r="E164" s="87"/>
      <c r="F164" s="87"/>
      <c r="G164" s="87"/>
      <c r="H164" s="87"/>
      <c r="I164" s="87"/>
      <c r="J164" s="87"/>
      <c r="K164" s="87"/>
      <c r="L164" s="87"/>
      <c r="M164" s="87"/>
      <c r="N164" s="87"/>
      <c r="O164" s="87"/>
      <c r="P164" s="88"/>
    </row>
    <row r="165" spans="1:16">
      <c r="A165" s="85"/>
      <c r="B165" s="86"/>
      <c r="C165" s="86"/>
      <c r="D165" s="87"/>
      <c r="E165" s="87"/>
      <c r="F165" s="87"/>
      <c r="G165" s="87"/>
      <c r="H165" s="87"/>
      <c r="I165" s="87"/>
      <c r="J165" s="87"/>
      <c r="K165" s="87"/>
      <c r="L165" s="87"/>
      <c r="M165" s="87"/>
      <c r="N165" s="87"/>
      <c r="O165" s="87"/>
      <c r="P165" s="88"/>
    </row>
    <row r="166" spans="1:16">
      <c r="A166" s="85"/>
      <c r="B166" s="86"/>
      <c r="C166" s="86"/>
      <c r="D166" s="87"/>
      <c r="E166" s="87"/>
      <c r="F166" s="87"/>
      <c r="G166" s="87"/>
      <c r="H166" s="87"/>
      <c r="I166" s="87"/>
      <c r="J166" s="87"/>
      <c r="K166" s="87"/>
      <c r="L166" s="87"/>
      <c r="M166" s="87"/>
      <c r="N166" s="87"/>
      <c r="O166" s="87"/>
      <c r="P166" s="88"/>
    </row>
    <row r="167" spans="1:16">
      <c r="A167" s="85"/>
      <c r="B167" s="86"/>
      <c r="C167" s="86"/>
      <c r="D167" s="87"/>
      <c r="E167" s="87"/>
      <c r="F167" s="87"/>
      <c r="G167" s="87"/>
      <c r="H167" s="87"/>
      <c r="I167" s="87"/>
      <c r="J167" s="87"/>
      <c r="K167" s="87"/>
      <c r="L167" s="87"/>
      <c r="M167" s="87"/>
      <c r="N167" s="87"/>
      <c r="O167" s="87"/>
      <c r="P167" s="88"/>
    </row>
    <row r="168" spans="1:16">
      <c r="A168" s="85"/>
      <c r="B168" s="86"/>
      <c r="C168" s="86"/>
      <c r="D168" s="87"/>
      <c r="E168" s="87"/>
      <c r="F168" s="87"/>
      <c r="G168" s="87"/>
      <c r="H168" s="87"/>
      <c r="I168" s="87"/>
      <c r="J168" s="87"/>
      <c r="K168" s="87"/>
      <c r="L168" s="87"/>
      <c r="M168" s="87"/>
      <c r="N168" s="87"/>
      <c r="O168" s="87"/>
      <c r="P168" s="88"/>
    </row>
    <row r="169" spans="1:16">
      <c r="A169" s="85"/>
      <c r="B169" s="86"/>
      <c r="C169" s="86"/>
      <c r="D169" s="87"/>
      <c r="E169" s="87"/>
      <c r="F169" s="87"/>
      <c r="G169" s="87"/>
      <c r="H169" s="87"/>
      <c r="I169" s="87"/>
      <c r="J169" s="87"/>
      <c r="K169" s="87"/>
      <c r="L169" s="87"/>
      <c r="M169" s="87"/>
      <c r="N169" s="87"/>
      <c r="O169" s="87"/>
      <c r="P169" s="88"/>
    </row>
    <row r="170" spans="1:16">
      <c r="A170" s="85"/>
      <c r="B170" s="86"/>
      <c r="C170" s="86"/>
      <c r="D170" s="87"/>
      <c r="E170" s="87"/>
      <c r="F170" s="87"/>
      <c r="G170" s="87"/>
      <c r="H170" s="87"/>
      <c r="I170" s="87"/>
      <c r="J170" s="87"/>
      <c r="K170" s="87"/>
      <c r="L170" s="87"/>
      <c r="M170" s="87"/>
      <c r="N170" s="87"/>
      <c r="O170" s="87"/>
      <c r="P170" s="88"/>
    </row>
    <row r="171" spans="1:16">
      <c r="A171" s="85"/>
      <c r="B171" s="86"/>
      <c r="C171" s="86"/>
      <c r="D171" s="87"/>
      <c r="E171" s="87"/>
      <c r="F171" s="87"/>
      <c r="G171" s="87"/>
      <c r="H171" s="87"/>
      <c r="I171" s="87"/>
      <c r="J171" s="87"/>
      <c r="K171" s="87"/>
      <c r="L171" s="87"/>
      <c r="M171" s="87"/>
      <c r="N171" s="87"/>
      <c r="O171" s="87"/>
      <c r="P171" s="88"/>
    </row>
    <row r="172" spans="1:16">
      <c r="A172" s="85"/>
      <c r="B172" s="86"/>
      <c r="C172" s="86"/>
      <c r="D172" s="87"/>
      <c r="E172" s="87"/>
      <c r="F172" s="87"/>
      <c r="G172" s="87"/>
      <c r="H172" s="87"/>
      <c r="I172" s="87"/>
      <c r="J172" s="87"/>
      <c r="K172" s="87"/>
      <c r="L172" s="87"/>
      <c r="M172" s="87"/>
      <c r="N172" s="87"/>
      <c r="O172" s="87"/>
      <c r="P172" s="88"/>
    </row>
    <row r="173" spans="1:16">
      <c r="A173" s="85"/>
      <c r="B173" s="86"/>
      <c r="C173" s="86"/>
      <c r="D173" s="87"/>
      <c r="E173" s="87"/>
      <c r="F173" s="87"/>
      <c r="G173" s="87"/>
      <c r="H173" s="87"/>
      <c r="I173" s="87"/>
      <c r="J173" s="87"/>
      <c r="K173" s="87"/>
      <c r="L173" s="87"/>
      <c r="M173" s="87"/>
      <c r="N173" s="87"/>
      <c r="O173" s="87"/>
      <c r="P173" s="88"/>
    </row>
    <row r="174" spans="1:16">
      <c r="A174" s="85"/>
      <c r="B174" s="86"/>
      <c r="C174" s="86"/>
      <c r="D174" s="87"/>
      <c r="E174" s="87"/>
      <c r="F174" s="87"/>
      <c r="G174" s="87"/>
      <c r="H174" s="87"/>
      <c r="I174" s="87"/>
      <c r="J174" s="87"/>
      <c r="K174" s="87"/>
      <c r="L174" s="87"/>
      <c r="M174" s="87"/>
      <c r="N174" s="87"/>
      <c r="O174" s="87"/>
      <c r="P174" s="88"/>
    </row>
    <row r="175" spans="1:16">
      <c r="A175" s="85"/>
      <c r="B175" s="86"/>
      <c r="C175" s="86"/>
      <c r="D175" s="87"/>
      <c r="E175" s="87"/>
      <c r="F175" s="87"/>
      <c r="G175" s="87"/>
      <c r="H175" s="87"/>
      <c r="I175" s="87"/>
      <c r="J175" s="87"/>
      <c r="K175" s="87"/>
      <c r="L175" s="87"/>
      <c r="M175" s="87"/>
      <c r="N175" s="87"/>
      <c r="O175" s="87"/>
      <c r="P175" s="88"/>
    </row>
    <row r="176" spans="1:16">
      <c r="A176" s="85"/>
      <c r="B176" s="86"/>
      <c r="C176" s="86"/>
      <c r="D176" s="87"/>
      <c r="E176" s="87"/>
      <c r="F176" s="87"/>
      <c r="G176" s="87"/>
      <c r="H176" s="87"/>
      <c r="I176" s="87"/>
      <c r="J176" s="87"/>
      <c r="K176" s="87"/>
      <c r="L176" s="87"/>
      <c r="M176" s="87"/>
      <c r="N176" s="87"/>
      <c r="O176" s="87"/>
      <c r="P176" s="88"/>
    </row>
    <row r="177" spans="1:16">
      <c r="A177" s="85"/>
      <c r="B177" s="86"/>
      <c r="C177" s="86"/>
      <c r="D177" s="87"/>
      <c r="E177" s="87"/>
      <c r="F177" s="87"/>
      <c r="G177" s="87"/>
      <c r="H177" s="87"/>
      <c r="I177" s="87"/>
      <c r="J177" s="87"/>
      <c r="K177" s="87"/>
      <c r="L177" s="87"/>
      <c r="M177" s="87"/>
      <c r="N177" s="87"/>
      <c r="O177" s="87"/>
      <c r="P177" s="88"/>
    </row>
    <row r="178" spans="1:16">
      <c r="A178" s="85"/>
      <c r="B178" s="86"/>
      <c r="C178" s="86"/>
      <c r="D178" s="87"/>
      <c r="E178" s="87"/>
      <c r="F178" s="87"/>
      <c r="G178" s="87"/>
      <c r="H178" s="87"/>
      <c r="I178" s="87"/>
      <c r="J178" s="87"/>
      <c r="K178" s="87"/>
      <c r="L178" s="87"/>
      <c r="M178" s="87"/>
      <c r="N178" s="87"/>
      <c r="O178" s="87"/>
      <c r="P178" s="88"/>
    </row>
    <row r="179" spans="1:16">
      <c r="A179" s="85"/>
      <c r="B179" s="86"/>
      <c r="C179" s="86"/>
      <c r="D179" s="87"/>
      <c r="E179" s="87"/>
      <c r="F179" s="87"/>
      <c r="G179" s="87"/>
      <c r="H179" s="87"/>
      <c r="I179" s="87"/>
      <c r="J179" s="87"/>
      <c r="K179" s="87"/>
      <c r="L179" s="87"/>
      <c r="M179" s="87"/>
      <c r="N179" s="87"/>
      <c r="O179" s="87"/>
      <c r="P179" s="88"/>
    </row>
    <row r="180" spans="1:16">
      <c r="A180" s="85"/>
      <c r="B180" s="86"/>
      <c r="C180" s="86"/>
      <c r="D180" s="87"/>
      <c r="E180" s="87"/>
      <c r="F180" s="87"/>
      <c r="G180" s="87"/>
      <c r="H180" s="87"/>
      <c r="I180" s="87"/>
      <c r="J180" s="87"/>
      <c r="K180" s="87"/>
      <c r="L180" s="87"/>
      <c r="M180" s="87"/>
      <c r="N180" s="87"/>
      <c r="O180" s="87"/>
      <c r="P180" s="88"/>
    </row>
    <row r="181" spans="1:16">
      <c r="A181" s="85"/>
      <c r="B181" s="86"/>
      <c r="C181" s="86"/>
      <c r="D181" s="87"/>
      <c r="E181" s="87"/>
      <c r="F181" s="87"/>
      <c r="G181" s="87"/>
      <c r="H181" s="87"/>
      <c r="I181" s="87"/>
      <c r="J181" s="87"/>
      <c r="K181" s="87"/>
      <c r="L181" s="87"/>
      <c r="M181" s="87"/>
      <c r="N181" s="87"/>
      <c r="O181" s="87"/>
      <c r="P181" s="88"/>
    </row>
    <row r="182" spans="1:16">
      <c r="A182" s="85"/>
      <c r="B182" s="86"/>
      <c r="C182" s="86"/>
      <c r="D182" s="87"/>
      <c r="E182" s="87"/>
      <c r="F182" s="87"/>
      <c r="G182" s="87"/>
      <c r="H182" s="87"/>
      <c r="I182" s="87"/>
      <c r="J182" s="87"/>
      <c r="K182" s="87"/>
      <c r="L182" s="87"/>
      <c r="M182" s="87"/>
      <c r="N182" s="87"/>
      <c r="O182" s="87"/>
      <c r="P182" s="88"/>
    </row>
    <row r="183" spans="1:16">
      <c r="A183" s="85"/>
      <c r="B183" s="86"/>
      <c r="C183" s="86"/>
      <c r="D183" s="87"/>
      <c r="E183" s="87"/>
      <c r="F183" s="87"/>
      <c r="G183" s="87"/>
      <c r="H183" s="87"/>
      <c r="I183" s="87"/>
      <c r="J183" s="87"/>
      <c r="K183" s="87"/>
      <c r="L183" s="87"/>
      <c r="M183" s="87"/>
      <c r="N183" s="87"/>
      <c r="O183" s="87"/>
      <c r="P183" s="88"/>
    </row>
    <row r="184" spans="1:16">
      <c r="A184" s="85"/>
      <c r="B184" s="86"/>
      <c r="C184" s="86"/>
      <c r="D184" s="87"/>
      <c r="E184" s="87"/>
      <c r="F184" s="87"/>
      <c r="G184" s="87"/>
      <c r="H184" s="87"/>
      <c r="I184" s="87"/>
      <c r="J184" s="87"/>
      <c r="K184" s="87"/>
      <c r="L184" s="87"/>
      <c r="M184" s="87"/>
      <c r="N184" s="87"/>
      <c r="O184" s="87"/>
      <c r="P184" s="88"/>
    </row>
    <row r="185" spans="1:16">
      <c r="A185" s="85"/>
      <c r="B185" s="86"/>
      <c r="C185" s="86"/>
      <c r="D185" s="87"/>
      <c r="E185" s="87"/>
      <c r="F185" s="87"/>
      <c r="G185" s="87"/>
      <c r="H185" s="87"/>
      <c r="I185" s="87"/>
      <c r="J185" s="87"/>
      <c r="K185" s="87"/>
      <c r="L185" s="87"/>
      <c r="M185" s="87"/>
      <c r="N185" s="87"/>
      <c r="O185" s="87"/>
      <c r="P185" s="88"/>
    </row>
    <row r="186" spans="1:16">
      <c r="A186" s="85"/>
      <c r="B186" s="86"/>
      <c r="C186" s="86"/>
      <c r="D186" s="87"/>
      <c r="E186" s="87"/>
      <c r="F186" s="87"/>
      <c r="G186" s="87"/>
      <c r="H186" s="87"/>
      <c r="I186" s="87"/>
      <c r="J186" s="87"/>
      <c r="K186" s="87"/>
      <c r="L186" s="87"/>
      <c r="M186" s="87"/>
      <c r="N186" s="87"/>
      <c r="O186" s="87"/>
      <c r="P186" s="88"/>
    </row>
    <row r="187" spans="1:16">
      <c r="A187" s="85"/>
      <c r="B187" s="86"/>
      <c r="C187" s="86"/>
      <c r="D187" s="87"/>
      <c r="E187" s="87"/>
      <c r="F187" s="87"/>
      <c r="G187" s="87"/>
      <c r="H187" s="87"/>
      <c r="I187" s="87"/>
      <c r="J187" s="87"/>
      <c r="K187" s="87"/>
      <c r="L187" s="87"/>
      <c r="M187" s="87"/>
      <c r="N187" s="87"/>
      <c r="O187" s="87"/>
      <c r="P187" s="88"/>
    </row>
    <row r="188" spans="1:16">
      <c r="A188" s="85"/>
      <c r="B188" s="86"/>
      <c r="C188" s="86"/>
      <c r="D188" s="87"/>
      <c r="E188" s="87"/>
      <c r="F188" s="87"/>
      <c r="G188" s="87"/>
      <c r="H188" s="87"/>
      <c r="I188" s="87"/>
      <c r="J188" s="87"/>
      <c r="K188" s="87"/>
      <c r="L188" s="87"/>
      <c r="M188" s="87"/>
      <c r="N188" s="87"/>
      <c r="O188" s="87"/>
      <c r="P188" s="88"/>
    </row>
    <row r="189" spans="1:16">
      <c r="A189" s="85"/>
      <c r="B189" s="86"/>
      <c r="C189" s="86"/>
      <c r="D189" s="87"/>
      <c r="E189" s="87"/>
      <c r="F189" s="87"/>
      <c r="G189" s="87"/>
      <c r="H189" s="87"/>
      <c r="I189" s="87"/>
      <c r="J189" s="87"/>
      <c r="K189" s="87"/>
      <c r="L189" s="87"/>
      <c r="M189" s="87"/>
      <c r="N189" s="87"/>
      <c r="O189" s="87"/>
      <c r="P189" s="88"/>
    </row>
    <row r="190" spans="1:16">
      <c r="A190" s="85"/>
      <c r="B190" s="86"/>
      <c r="C190" s="86"/>
      <c r="D190" s="87"/>
      <c r="E190" s="87"/>
      <c r="F190" s="87"/>
      <c r="G190" s="87"/>
      <c r="H190" s="87"/>
      <c r="I190" s="87"/>
      <c r="J190" s="87"/>
      <c r="K190" s="87"/>
      <c r="L190" s="87"/>
      <c r="M190" s="87"/>
      <c r="N190" s="87"/>
      <c r="O190" s="87"/>
      <c r="P190" s="88"/>
    </row>
    <row r="191" spans="1:16">
      <c r="A191" s="85"/>
      <c r="B191" s="86"/>
      <c r="C191" s="86"/>
      <c r="D191" s="87"/>
      <c r="E191" s="87"/>
      <c r="F191" s="87"/>
      <c r="G191" s="87"/>
      <c r="H191" s="87"/>
      <c r="I191" s="87"/>
      <c r="J191" s="87"/>
      <c r="K191" s="87"/>
      <c r="L191" s="87"/>
      <c r="M191" s="87"/>
      <c r="N191" s="87"/>
      <c r="O191" s="87"/>
      <c r="P191" s="88"/>
    </row>
    <row r="192" spans="1:16">
      <c r="A192" s="85"/>
      <c r="B192" s="86"/>
      <c r="C192" s="86"/>
      <c r="D192" s="87"/>
      <c r="E192" s="87"/>
      <c r="F192" s="87"/>
      <c r="G192" s="87"/>
      <c r="H192" s="87"/>
      <c r="I192" s="87"/>
      <c r="J192" s="87"/>
      <c r="K192" s="87"/>
      <c r="L192" s="87"/>
      <c r="M192" s="87"/>
      <c r="N192" s="87"/>
      <c r="O192" s="87"/>
      <c r="P192" s="88"/>
    </row>
    <row r="193" spans="1:16">
      <c r="A193" s="85"/>
      <c r="B193" s="86"/>
      <c r="C193" s="86"/>
      <c r="D193" s="87"/>
      <c r="E193" s="87"/>
      <c r="F193" s="87"/>
      <c r="G193" s="87"/>
      <c r="H193" s="87"/>
      <c r="I193" s="87"/>
      <c r="J193" s="87"/>
      <c r="K193" s="87"/>
      <c r="L193" s="87"/>
      <c r="M193" s="87"/>
      <c r="N193" s="87"/>
      <c r="O193" s="87"/>
      <c r="P193" s="88"/>
    </row>
    <row r="194" spans="1:16">
      <c r="A194" s="85"/>
      <c r="B194" s="86"/>
      <c r="C194" s="86"/>
      <c r="D194" s="87"/>
      <c r="E194" s="87"/>
      <c r="F194" s="87"/>
      <c r="G194" s="87"/>
      <c r="H194" s="87"/>
      <c r="I194" s="87"/>
      <c r="J194" s="87"/>
      <c r="K194" s="87"/>
      <c r="L194" s="87"/>
      <c r="M194" s="87"/>
      <c r="N194" s="87"/>
      <c r="O194" s="87"/>
      <c r="P194" s="88"/>
    </row>
    <row r="195" spans="1:16">
      <c r="A195" s="85"/>
      <c r="B195" s="86"/>
      <c r="C195" s="86"/>
      <c r="D195" s="87"/>
      <c r="E195" s="87"/>
      <c r="F195" s="87"/>
      <c r="G195" s="87"/>
      <c r="H195" s="87"/>
      <c r="I195" s="87"/>
      <c r="J195" s="87"/>
      <c r="K195" s="87"/>
      <c r="L195" s="87"/>
      <c r="M195" s="87"/>
      <c r="N195" s="87"/>
      <c r="O195" s="87"/>
      <c r="P195" s="88"/>
    </row>
    <row r="196" spans="1:16">
      <c r="A196" s="85"/>
      <c r="B196" s="86"/>
      <c r="C196" s="86"/>
      <c r="D196" s="87"/>
      <c r="E196" s="87"/>
      <c r="F196" s="87"/>
      <c r="G196" s="87"/>
      <c r="H196" s="87"/>
      <c r="I196" s="87"/>
      <c r="J196" s="87"/>
      <c r="K196" s="87"/>
      <c r="L196" s="87"/>
      <c r="M196" s="87"/>
      <c r="N196" s="87"/>
      <c r="O196" s="87"/>
      <c r="P196" s="88"/>
    </row>
    <row r="197" spans="1:16">
      <c r="A197" s="85"/>
      <c r="B197" s="86"/>
      <c r="C197" s="86"/>
      <c r="D197" s="87"/>
      <c r="E197" s="87"/>
      <c r="F197" s="87"/>
      <c r="G197" s="87"/>
      <c r="H197" s="87"/>
      <c r="I197" s="87"/>
      <c r="J197" s="87"/>
      <c r="K197" s="87"/>
      <c r="L197" s="87"/>
      <c r="M197" s="87"/>
      <c r="N197" s="87"/>
      <c r="O197" s="87"/>
      <c r="P197" s="88"/>
    </row>
    <row r="198" spans="1:16">
      <c r="A198" s="85"/>
      <c r="B198" s="86"/>
      <c r="C198" s="86"/>
      <c r="D198" s="87"/>
      <c r="E198" s="87"/>
      <c r="F198" s="87"/>
      <c r="G198" s="87"/>
      <c r="H198" s="87"/>
      <c r="I198" s="87"/>
      <c r="J198" s="87"/>
      <c r="K198" s="87"/>
      <c r="L198" s="87"/>
      <c r="M198" s="87"/>
      <c r="N198" s="87"/>
      <c r="O198" s="87"/>
      <c r="P198" s="88"/>
    </row>
    <row r="199" spans="1:16">
      <c r="A199" s="85"/>
      <c r="B199" s="86"/>
      <c r="C199" s="86"/>
      <c r="D199" s="87"/>
      <c r="E199" s="87"/>
      <c r="F199" s="87"/>
      <c r="G199" s="87"/>
      <c r="H199" s="87"/>
      <c r="I199" s="87"/>
      <c r="J199" s="87"/>
      <c r="K199" s="87"/>
      <c r="L199" s="87"/>
      <c r="M199" s="87"/>
      <c r="N199" s="87"/>
      <c r="O199" s="87"/>
      <c r="P199" s="88"/>
    </row>
    <row r="200" spans="1:16">
      <c r="A200" s="85"/>
      <c r="B200" s="86"/>
      <c r="C200" s="86"/>
      <c r="D200" s="87"/>
      <c r="E200" s="87"/>
      <c r="F200" s="87"/>
      <c r="G200" s="87"/>
      <c r="H200" s="87"/>
      <c r="I200" s="87"/>
      <c r="J200" s="87"/>
      <c r="K200" s="87"/>
      <c r="L200" s="87"/>
      <c r="M200" s="87"/>
      <c r="N200" s="87"/>
      <c r="O200" s="87"/>
      <c r="P200" s="88"/>
    </row>
    <row r="201" spans="1:16">
      <c r="A201" s="85"/>
      <c r="B201" s="86"/>
      <c r="C201" s="86"/>
      <c r="D201" s="87"/>
      <c r="E201" s="87"/>
      <c r="F201" s="87"/>
      <c r="G201" s="87"/>
      <c r="H201" s="87"/>
      <c r="I201" s="87"/>
      <c r="J201" s="87"/>
      <c r="K201" s="87"/>
      <c r="L201" s="87"/>
      <c r="M201" s="87"/>
      <c r="N201" s="87"/>
      <c r="O201" s="87"/>
      <c r="P201" s="88"/>
    </row>
    <row r="202" spans="1:16">
      <c r="A202" s="85"/>
      <c r="B202" s="86"/>
      <c r="C202" s="86"/>
      <c r="D202" s="87"/>
      <c r="E202" s="87"/>
      <c r="F202" s="87"/>
      <c r="G202" s="87"/>
      <c r="H202" s="87"/>
      <c r="I202" s="87"/>
      <c r="J202" s="87"/>
      <c r="K202" s="87"/>
      <c r="L202" s="87"/>
      <c r="M202" s="87"/>
      <c r="N202" s="87"/>
      <c r="O202" s="87"/>
      <c r="P202" s="88"/>
    </row>
    <row r="203" spans="1:16">
      <c r="A203" s="85"/>
      <c r="B203" s="86"/>
      <c r="C203" s="86"/>
      <c r="D203" s="87"/>
      <c r="E203" s="87"/>
      <c r="F203" s="87"/>
      <c r="G203" s="87"/>
      <c r="H203" s="87"/>
      <c r="I203" s="87"/>
      <c r="J203" s="87"/>
      <c r="K203" s="87"/>
      <c r="L203" s="87"/>
      <c r="M203" s="87"/>
      <c r="N203" s="87"/>
      <c r="O203" s="87"/>
      <c r="P203" s="88"/>
    </row>
    <row r="204" spans="1:16">
      <c r="A204" s="85"/>
      <c r="B204" s="86"/>
      <c r="C204" s="86"/>
      <c r="D204" s="87"/>
      <c r="E204" s="87"/>
      <c r="F204" s="87"/>
      <c r="G204" s="87"/>
      <c r="H204" s="87"/>
      <c r="I204" s="87"/>
      <c r="J204" s="87"/>
      <c r="K204" s="87"/>
      <c r="L204" s="87"/>
      <c r="M204" s="87"/>
      <c r="N204" s="87"/>
      <c r="O204" s="87"/>
      <c r="P204" s="88"/>
    </row>
    <row r="205" spans="1:16">
      <c r="A205" s="85"/>
      <c r="B205" s="86"/>
      <c r="C205" s="86"/>
      <c r="D205" s="87"/>
      <c r="E205" s="87"/>
      <c r="F205" s="87"/>
      <c r="G205" s="87"/>
      <c r="H205" s="87"/>
      <c r="I205" s="87"/>
      <c r="J205" s="87"/>
      <c r="K205" s="87"/>
      <c r="L205" s="87"/>
      <c r="M205" s="87"/>
      <c r="N205" s="87"/>
      <c r="O205" s="87"/>
      <c r="P205" s="88"/>
    </row>
    <row r="206" spans="1:16">
      <c r="A206" s="85"/>
      <c r="B206" s="86"/>
      <c r="C206" s="86"/>
      <c r="D206" s="87"/>
      <c r="E206" s="87"/>
      <c r="F206" s="87"/>
      <c r="G206" s="87"/>
      <c r="H206" s="87"/>
      <c r="I206" s="87"/>
      <c r="J206" s="87"/>
      <c r="K206" s="87"/>
      <c r="L206" s="87"/>
      <c r="M206" s="87"/>
      <c r="N206" s="87"/>
      <c r="O206" s="87"/>
      <c r="P206" s="88"/>
    </row>
    <row r="207" spans="1:16">
      <c r="A207" s="85"/>
      <c r="B207" s="86"/>
      <c r="C207" s="86"/>
      <c r="D207" s="87"/>
      <c r="E207" s="87"/>
      <c r="F207" s="87"/>
      <c r="G207" s="87"/>
      <c r="H207" s="87"/>
      <c r="I207" s="87"/>
      <c r="J207" s="87"/>
      <c r="K207" s="87"/>
      <c r="L207" s="87"/>
      <c r="M207" s="87"/>
      <c r="N207" s="87"/>
      <c r="O207" s="87"/>
      <c r="P207" s="88"/>
    </row>
    <row r="208" spans="1:16">
      <c r="A208" s="85"/>
      <c r="B208" s="86"/>
      <c r="C208" s="86"/>
      <c r="D208" s="87"/>
      <c r="E208" s="87"/>
      <c r="F208" s="87"/>
      <c r="G208" s="87"/>
      <c r="H208" s="87"/>
      <c r="I208" s="87"/>
      <c r="J208" s="87"/>
      <c r="K208" s="87"/>
      <c r="L208" s="87"/>
      <c r="M208" s="87"/>
      <c r="N208" s="87"/>
      <c r="O208" s="87"/>
      <c r="P208" s="88"/>
    </row>
    <row r="209" spans="1:16">
      <c r="A209" s="85"/>
      <c r="B209" s="86"/>
      <c r="C209" s="86"/>
      <c r="D209" s="87"/>
      <c r="E209" s="87"/>
      <c r="F209" s="87"/>
      <c r="G209" s="87"/>
      <c r="H209" s="87"/>
      <c r="I209" s="87"/>
      <c r="J209" s="87"/>
      <c r="K209" s="87"/>
      <c r="L209" s="87"/>
      <c r="M209" s="87"/>
      <c r="N209" s="87"/>
      <c r="O209" s="87"/>
      <c r="P209" s="88"/>
    </row>
    <row r="210" spans="1:16">
      <c r="A210" s="85"/>
      <c r="B210" s="86"/>
      <c r="C210" s="86"/>
      <c r="D210" s="87"/>
      <c r="E210" s="87"/>
      <c r="F210" s="87"/>
      <c r="G210" s="87"/>
      <c r="H210" s="87"/>
      <c r="I210" s="87"/>
      <c r="J210" s="87"/>
      <c r="K210" s="87"/>
      <c r="L210" s="87"/>
      <c r="M210" s="87"/>
      <c r="N210" s="87"/>
      <c r="O210" s="87"/>
      <c r="P210" s="88"/>
    </row>
    <row r="211" spans="1:16">
      <c r="A211" s="85"/>
      <c r="B211" s="86"/>
      <c r="C211" s="86"/>
      <c r="D211" s="87"/>
      <c r="E211" s="87"/>
      <c r="F211" s="87"/>
      <c r="G211" s="87"/>
      <c r="H211" s="87"/>
      <c r="I211" s="87"/>
      <c r="J211" s="87"/>
      <c r="K211" s="87"/>
      <c r="L211" s="87"/>
      <c r="M211" s="87"/>
      <c r="N211" s="87"/>
      <c r="O211" s="87"/>
      <c r="P211" s="88"/>
    </row>
    <row r="212" spans="1:16">
      <c r="A212" s="85"/>
      <c r="B212" s="86"/>
      <c r="C212" s="86"/>
      <c r="D212" s="87"/>
      <c r="E212" s="87"/>
      <c r="F212" s="87"/>
      <c r="G212" s="87"/>
      <c r="H212" s="87"/>
      <c r="I212" s="87"/>
      <c r="J212" s="87"/>
      <c r="K212" s="87"/>
      <c r="L212" s="87"/>
      <c r="M212" s="87"/>
      <c r="N212" s="87"/>
      <c r="O212" s="87"/>
      <c r="P212" s="88"/>
    </row>
    <row r="213" spans="1:16">
      <c r="A213" s="85"/>
      <c r="B213" s="86"/>
      <c r="C213" s="86"/>
      <c r="D213" s="87"/>
      <c r="E213" s="87"/>
      <c r="F213" s="87"/>
      <c r="G213" s="87"/>
      <c r="H213" s="87"/>
      <c r="I213" s="87"/>
      <c r="J213" s="87"/>
      <c r="K213" s="87"/>
      <c r="L213" s="87"/>
      <c r="M213" s="87"/>
      <c r="N213" s="87"/>
      <c r="O213" s="87"/>
      <c r="P213" s="88"/>
    </row>
    <row r="214" spans="1:16">
      <c r="A214" s="85"/>
      <c r="B214" s="86"/>
      <c r="C214" s="86"/>
      <c r="D214" s="87"/>
      <c r="E214" s="87"/>
      <c r="F214" s="87"/>
      <c r="G214" s="87"/>
      <c r="H214" s="87"/>
      <c r="I214" s="87"/>
      <c r="J214" s="87"/>
      <c r="K214" s="87"/>
      <c r="L214" s="87"/>
      <c r="M214" s="87"/>
      <c r="N214" s="87"/>
      <c r="O214" s="87"/>
      <c r="P214" s="88"/>
    </row>
    <row r="215" spans="1:16">
      <c r="A215" s="85"/>
      <c r="B215" s="86"/>
      <c r="C215" s="86"/>
      <c r="D215" s="87"/>
      <c r="E215" s="87"/>
      <c r="F215" s="87"/>
      <c r="G215" s="87"/>
      <c r="H215" s="87"/>
      <c r="I215" s="87"/>
      <c r="J215" s="87"/>
      <c r="K215" s="87"/>
      <c r="L215" s="87"/>
      <c r="M215" s="87"/>
      <c r="N215" s="87"/>
      <c r="O215" s="87"/>
      <c r="P215" s="88"/>
    </row>
    <row r="216" spans="1:16">
      <c r="A216" s="85"/>
      <c r="B216" s="86"/>
      <c r="C216" s="86"/>
      <c r="D216" s="87"/>
      <c r="E216" s="87"/>
      <c r="F216" s="87"/>
      <c r="G216" s="87"/>
      <c r="H216" s="87"/>
      <c r="I216" s="87"/>
      <c r="J216" s="87"/>
      <c r="K216" s="87"/>
      <c r="L216" s="87"/>
      <c r="M216" s="87"/>
      <c r="N216" s="87"/>
      <c r="O216" s="87"/>
      <c r="P216" s="88"/>
    </row>
    <row r="217" spans="1:16">
      <c r="A217" s="85"/>
      <c r="B217" s="86"/>
      <c r="C217" s="86"/>
      <c r="D217" s="87"/>
      <c r="E217" s="87"/>
      <c r="F217" s="87"/>
      <c r="G217" s="87"/>
      <c r="H217" s="87"/>
      <c r="I217" s="87"/>
      <c r="J217" s="87"/>
      <c r="K217" s="87"/>
      <c r="L217" s="87"/>
      <c r="M217" s="87"/>
      <c r="N217" s="87"/>
      <c r="O217" s="87"/>
      <c r="P217" s="88"/>
    </row>
    <row r="218" spans="1:16">
      <c r="A218" s="85"/>
      <c r="B218" s="86"/>
      <c r="C218" s="86"/>
      <c r="D218" s="87"/>
      <c r="E218" s="87"/>
      <c r="F218" s="87"/>
      <c r="G218" s="87"/>
      <c r="H218" s="87"/>
      <c r="I218" s="87"/>
      <c r="J218" s="87"/>
      <c r="K218" s="87"/>
      <c r="L218" s="87"/>
      <c r="M218" s="87"/>
      <c r="N218" s="87"/>
      <c r="O218" s="87"/>
      <c r="P218" s="88"/>
    </row>
    <row r="219" spans="1:16">
      <c r="A219" s="85"/>
      <c r="B219" s="86"/>
      <c r="C219" s="86"/>
      <c r="D219" s="87"/>
      <c r="E219" s="87"/>
      <c r="F219" s="87"/>
      <c r="G219" s="87"/>
      <c r="H219" s="87"/>
      <c r="I219" s="87"/>
      <c r="J219" s="87"/>
      <c r="K219" s="87"/>
      <c r="L219" s="87"/>
      <c r="M219" s="87"/>
      <c r="N219" s="87"/>
      <c r="O219" s="87"/>
      <c r="P219" s="88"/>
    </row>
    <row r="220" spans="1:16">
      <c r="A220" s="85"/>
      <c r="B220" s="86"/>
      <c r="C220" s="86"/>
      <c r="D220" s="87"/>
      <c r="E220" s="87"/>
      <c r="F220" s="87"/>
      <c r="G220" s="87"/>
      <c r="H220" s="87"/>
      <c r="I220" s="87"/>
      <c r="J220" s="87"/>
      <c r="K220" s="87"/>
      <c r="L220" s="87"/>
      <c r="M220" s="87"/>
      <c r="N220" s="87"/>
      <c r="O220" s="87"/>
      <c r="P220" s="88"/>
    </row>
    <row r="221" spans="1:16">
      <c r="A221" s="85"/>
      <c r="B221" s="86"/>
      <c r="C221" s="86"/>
      <c r="D221" s="87"/>
      <c r="E221" s="87"/>
      <c r="F221" s="87"/>
      <c r="G221" s="87"/>
      <c r="H221" s="87"/>
      <c r="I221" s="87"/>
      <c r="J221" s="87"/>
      <c r="K221" s="87"/>
      <c r="L221" s="87"/>
      <c r="M221" s="87"/>
      <c r="N221" s="87"/>
      <c r="O221" s="87"/>
      <c r="P221" s="88"/>
    </row>
    <row r="222" spans="1:16">
      <c r="A222" s="85"/>
      <c r="B222" s="86"/>
      <c r="C222" s="86"/>
      <c r="D222" s="87"/>
      <c r="E222" s="87"/>
      <c r="F222" s="87"/>
      <c r="G222" s="87"/>
      <c r="H222" s="87"/>
      <c r="I222" s="87"/>
      <c r="J222" s="87"/>
      <c r="K222" s="87"/>
      <c r="L222" s="87"/>
      <c r="M222" s="87"/>
      <c r="N222" s="87"/>
      <c r="O222" s="87"/>
      <c r="P222" s="88"/>
    </row>
    <row r="223" spans="1:16">
      <c r="A223" s="85"/>
      <c r="B223" s="86"/>
      <c r="C223" s="86"/>
      <c r="D223" s="87"/>
      <c r="E223" s="87"/>
      <c r="F223" s="87"/>
      <c r="G223" s="87"/>
      <c r="H223" s="87"/>
      <c r="I223" s="87"/>
      <c r="J223" s="87"/>
      <c r="K223" s="87"/>
      <c r="L223" s="87"/>
      <c r="M223" s="87"/>
      <c r="N223" s="87"/>
      <c r="O223" s="87"/>
      <c r="P223" s="88"/>
    </row>
    <row r="224" spans="1:16">
      <c r="A224" s="85"/>
      <c r="B224" s="86"/>
      <c r="C224" s="86"/>
      <c r="D224" s="87"/>
      <c r="E224" s="87"/>
      <c r="F224" s="87"/>
      <c r="G224" s="87"/>
      <c r="H224" s="87"/>
      <c r="I224" s="87"/>
      <c r="J224" s="87"/>
      <c r="K224" s="87"/>
      <c r="L224" s="87"/>
      <c r="M224" s="87"/>
      <c r="N224" s="87"/>
      <c r="O224" s="87"/>
      <c r="P224" s="88"/>
    </row>
    <row r="225" spans="1:16">
      <c r="A225" s="85"/>
      <c r="B225" s="86"/>
      <c r="C225" s="86"/>
      <c r="D225" s="87"/>
      <c r="E225" s="87"/>
      <c r="F225" s="87"/>
      <c r="G225" s="87"/>
      <c r="H225" s="87"/>
      <c r="I225" s="87"/>
      <c r="J225" s="87"/>
      <c r="K225" s="87"/>
      <c r="L225" s="87"/>
      <c r="M225" s="87"/>
      <c r="N225" s="87"/>
      <c r="O225" s="87"/>
      <c r="P225" s="88"/>
    </row>
    <row r="226" spans="1:16">
      <c r="A226" s="85"/>
      <c r="B226" s="86"/>
      <c r="C226" s="86"/>
      <c r="D226" s="87"/>
      <c r="E226" s="87"/>
      <c r="F226" s="87"/>
      <c r="G226" s="87"/>
      <c r="H226" s="87"/>
      <c r="I226" s="87"/>
      <c r="J226" s="87"/>
      <c r="K226" s="87"/>
      <c r="L226" s="87"/>
      <c r="M226" s="87"/>
      <c r="N226" s="87"/>
      <c r="O226" s="87"/>
      <c r="P226" s="88"/>
    </row>
    <row r="227" spans="1:16">
      <c r="A227" s="85"/>
      <c r="B227" s="86"/>
      <c r="C227" s="86"/>
      <c r="D227" s="87"/>
      <c r="E227" s="87"/>
      <c r="F227" s="87"/>
      <c r="G227" s="87"/>
      <c r="H227" s="87"/>
      <c r="I227" s="87"/>
      <c r="J227" s="87"/>
      <c r="K227" s="87"/>
      <c r="L227" s="87"/>
      <c r="M227" s="87"/>
      <c r="N227" s="87"/>
      <c r="O227" s="87"/>
      <c r="P227" s="88"/>
    </row>
    <row r="228" spans="1:16">
      <c r="A228" s="85"/>
      <c r="B228" s="86"/>
      <c r="C228" s="86"/>
      <c r="D228" s="87"/>
      <c r="E228" s="87"/>
      <c r="F228" s="87"/>
      <c r="G228" s="87"/>
      <c r="H228" s="87"/>
      <c r="I228" s="87"/>
      <c r="J228" s="87"/>
      <c r="K228" s="87"/>
      <c r="L228" s="87"/>
      <c r="M228" s="87"/>
      <c r="N228" s="87"/>
      <c r="O228" s="87"/>
      <c r="P228" s="88"/>
    </row>
    <row r="229" spans="1:16">
      <c r="A229" s="85"/>
      <c r="B229" s="86"/>
      <c r="C229" s="86"/>
      <c r="D229" s="87"/>
      <c r="E229" s="87"/>
      <c r="F229" s="87"/>
      <c r="G229" s="87"/>
      <c r="H229" s="87"/>
      <c r="I229" s="87"/>
      <c r="J229" s="87"/>
      <c r="K229" s="87"/>
      <c r="L229" s="87"/>
      <c r="M229" s="87"/>
      <c r="N229" s="87"/>
      <c r="O229" s="87"/>
      <c r="P229" s="88"/>
    </row>
    <row r="230" spans="1:16">
      <c r="A230" s="85"/>
      <c r="B230" s="86"/>
      <c r="C230" s="86"/>
      <c r="D230" s="87"/>
      <c r="E230" s="87"/>
      <c r="F230" s="87"/>
      <c r="G230" s="87"/>
      <c r="H230" s="87"/>
      <c r="I230" s="87"/>
      <c r="J230" s="87"/>
      <c r="K230" s="87"/>
      <c r="L230" s="87"/>
      <c r="M230" s="87"/>
      <c r="N230" s="87"/>
      <c r="O230" s="87"/>
      <c r="P230" s="88"/>
    </row>
    <row r="231" spans="1:16">
      <c r="A231" s="85"/>
      <c r="B231" s="86"/>
      <c r="C231" s="86"/>
      <c r="D231" s="87"/>
      <c r="E231" s="87"/>
      <c r="F231" s="87"/>
      <c r="G231" s="87"/>
      <c r="H231" s="87"/>
      <c r="I231" s="87"/>
      <c r="J231" s="87"/>
      <c r="K231" s="87"/>
      <c r="L231" s="87"/>
      <c r="M231" s="87"/>
      <c r="N231" s="87"/>
      <c r="O231" s="87"/>
      <c r="P231" s="88"/>
    </row>
    <row r="232" spans="1:16">
      <c r="A232" s="85"/>
      <c r="B232" s="86"/>
      <c r="C232" s="86"/>
      <c r="D232" s="87"/>
      <c r="E232" s="87"/>
      <c r="F232" s="87"/>
      <c r="G232" s="87"/>
      <c r="H232" s="87"/>
      <c r="I232" s="87"/>
      <c r="J232" s="87"/>
      <c r="K232" s="87"/>
      <c r="L232" s="87"/>
      <c r="M232" s="87"/>
      <c r="N232" s="87"/>
      <c r="O232" s="87"/>
      <c r="P232" s="88"/>
    </row>
    <row r="233" spans="1:16">
      <c r="A233" s="85"/>
      <c r="B233" s="86"/>
      <c r="C233" s="86"/>
      <c r="D233" s="87"/>
      <c r="E233" s="87"/>
      <c r="F233" s="87"/>
      <c r="G233" s="87"/>
      <c r="H233" s="87"/>
      <c r="I233" s="87"/>
      <c r="J233" s="87"/>
      <c r="K233" s="87"/>
      <c r="L233" s="87"/>
      <c r="M233" s="87"/>
      <c r="N233" s="87"/>
      <c r="O233" s="87"/>
      <c r="P233" s="88"/>
    </row>
    <row r="234" spans="1:16">
      <c r="A234" s="85"/>
      <c r="B234" s="86"/>
      <c r="C234" s="86"/>
      <c r="D234" s="87"/>
      <c r="E234" s="87"/>
      <c r="F234" s="87"/>
      <c r="G234" s="87"/>
      <c r="H234" s="87"/>
      <c r="I234" s="87"/>
      <c r="J234" s="87"/>
      <c r="K234" s="87"/>
      <c r="L234" s="87"/>
      <c r="M234" s="87"/>
      <c r="N234" s="87"/>
      <c r="O234" s="87"/>
      <c r="P234" s="88"/>
    </row>
    <row r="235" spans="1:16">
      <c r="A235" s="85"/>
      <c r="B235" s="86"/>
      <c r="C235" s="86"/>
      <c r="D235" s="87"/>
      <c r="E235" s="87"/>
      <c r="F235" s="87"/>
      <c r="G235" s="87"/>
      <c r="H235" s="87"/>
      <c r="I235" s="87"/>
      <c r="J235" s="87"/>
      <c r="K235" s="87"/>
      <c r="L235" s="87"/>
      <c r="M235" s="87"/>
      <c r="N235" s="87"/>
      <c r="O235" s="87"/>
      <c r="P235" s="88"/>
    </row>
    <row r="236" spans="1:16">
      <c r="A236" s="85"/>
      <c r="B236" s="86"/>
      <c r="C236" s="86"/>
      <c r="D236" s="87"/>
      <c r="E236" s="87"/>
      <c r="F236" s="87"/>
      <c r="G236" s="87"/>
      <c r="H236" s="87"/>
      <c r="I236" s="87"/>
      <c r="J236" s="87"/>
      <c r="K236" s="87"/>
      <c r="L236" s="87"/>
      <c r="M236" s="87"/>
      <c r="N236" s="87"/>
      <c r="O236" s="87"/>
      <c r="P236" s="88"/>
    </row>
    <row r="237" spans="1:16">
      <c r="A237" s="85"/>
      <c r="B237" s="86"/>
      <c r="C237" s="86"/>
      <c r="D237" s="87"/>
      <c r="E237" s="87"/>
      <c r="F237" s="87"/>
      <c r="G237" s="87"/>
      <c r="H237" s="87"/>
      <c r="I237" s="87"/>
      <c r="J237" s="87"/>
      <c r="K237" s="87"/>
      <c r="L237" s="87"/>
      <c r="M237" s="87"/>
      <c r="N237" s="87"/>
      <c r="O237" s="87"/>
      <c r="P237" s="88"/>
    </row>
    <row r="238" spans="1:16">
      <c r="A238" s="85"/>
      <c r="B238" s="86"/>
      <c r="C238" s="86"/>
      <c r="D238" s="87"/>
      <c r="E238" s="87"/>
      <c r="F238" s="87"/>
      <c r="G238" s="87"/>
      <c r="H238" s="87"/>
      <c r="I238" s="87"/>
      <c r="J238" s="87"/>
      <c r="K238" s="87"/>
      <c r="L238" s="87"/>
      <c r="M238" s="87"/>
      <c r="N238" s="87"/>
      <c r="O238" s="87"/>
      <c r="P238" s="88"/>
    </row>
    <row r="239" spans="1:16">
      <c r="A239" s="85"/>
      <c r="B239" s="86"/>
      <c r="C239" s="86"/>
      <c r="D239" s="87"/>
      <c r="E239" s="87"/>
      <c r="F239" s="87"/>
      <c r="G239" s="87"/>
      <c r="H239" s="87"/>
      <c r="I239" s="87"/>
      <c r="J239" s="87"/>
      <c r="K239" s="87"/>
      <c r="L239" s="87"/>
      <c r="M239" s="87"/>
      <c r="N239" s="87"/>
      <c r="O239" s="87"/>
      <c r="P239" s="88"/>
    </row>
    <row r="240" spans="1:16">
      <c r="A240" s="85"/>
      <c r="B240" s="86"/>
      <c r="C240" s="86"/>
      <c r="D240" s="87"/>
      <c r="E240" s="87"/>
      <c r="F240" s="87"/>
      <c r="G240" s="87"/>
      <c r="H240" s="87"/>
      <c r="I240" s="87"/>
      <c r="J240" s="87"/>
      <c r="K240" s="87"/>
      <c r="L240" s="87"/>
      <c r="M240" s="87"/>
      <c r="N240" s="87"/>
      <c r="O240" s="87"/>
      <c r="P240" s="88"/>
    </row>
    <row r="241" spans="1:16">
      <c r="A241" s="85"/>
      <c r="B241" s="86"/>
      <c r="C241" s="86"/>
      <c r="D241" s="87"/>
      <c r="E241" s="87"/>
      <c r="F241" s="87"/>
      <c r="G241" s="87"/>
      <c r="H241" s="87"/>
      <c r="I241" s="87"/>
      <c r="J241" s="87"/>
      <c r="K241" s="87"/>
      <c r="L241" s="87"/>
      <c r="M241" s="87"/>
      <c r="N241" s="87"/>
      <c r="O241" s="87"/>
      <c r="P241" s="88"/>
    </row>
    <row r="242" spans="1:16">
      <c r="A242" s="85"/>
      <c r="B242" s="86"/>
      <c r="C242" s="86"/>
      <c r="D242" s="87"/>
      <c r="E242" s="87"/>
      <c r="F242" s="87"/>
      <c r="G242" s="87"/>
      <c r="H242" s="87"/>
      <c r="I242" s="87"/>
      <c r="J242" s="87"/>
      <c r="K242" s="87"/>
      <c r="L242" s="87"/>
      <c r="M242" s="87"/>
      <c r="N242" s="87"/>
      <c r="O242" s="87"/>
      <c r="P242" s="88"/>
    </row>
    <row r="243" spans="1:16">
      <c r="A243" s="85"/>
      <c r="B243" s="86"/>
      <c r="C243" s="86"/>
      <c r="D243" s="87"/>
      <c r="E243" s="87"/>
      <c r="F243" s="87"/>
      <c r="G243" s="87"/>
      <c r="H243" s="87"/>
      <c r="I243" s="87"/>
      <c r="J243" s="87"/>
      <c r="K243" s="87"/>
      <c r="L243" s="87"/>
      <c r="M243" s="87"/>
      <c r="N243" s="87"/>
      <c r="O243" s="87"/>
      <c r="P243" s="88"/>
    </row>
    <row r="244" spans="1:16">
      <c r="A244" s="85"/>
      <c r="B244" s="86"/>
      <c r="C244" s="86"/>
      <c r="D244" s="87"/>
      <c r="E244" s="87"/>
      <c r="F244" s="87"/>
      <c r="G244" s="87"/>
      <c r="H244" s="87"/>
      <c r="I244" s="87"/>
      <c r="J244" s="87"/>
      <c r="K244" s="87"/>
      <c r="L244" s="87"/>
      <c r="M244" s="87"/>
      <c r="N244" s="87"/>
      <c r="O244" s="87"/>
      <c r="P244" s="88"/>
    </row>
    <row r="245" spans="1:16">
      <c r="A245" s="85"/>
      <c r="B245" s="86"/>
      <c r="C245" s="86"/>
      <c r="D245" s="87"/>
      <c r="E245" s="87"/>
      <c r="F245" s="87"/>
      <c r="G245" s="87"/>
      <c r="H245" s="87"/>
      <c r="I245" s="87"/>
      <c r="J245" s="87"/>
      <c r="K245" s="87"/>
      <c r="L245" s="87"/>
      <c r="M245" s="87"/>
      <c r="N245" s="87"/>
      <c r="O245" s="87"/>
      <c r="P245" s="88"/>
    </row>
    <row r="246" spans="1:16">
      <c r="A246" s="85"/>
      <c r="B246" s="86"/>
      <c r="C246" s="86"/>
      <c r="D246" s="87"/>
      <c r="E246" s="87"/>
      <c r="F246" s="87"/>
      <c r="G246" s="87"/>
      <c r="H246" s="87"/>
      <c r="I246" s="87"/>
      <c r="J246" s="87"/>
      <c r="K246" s="87"/>
      <c r="L246" s="87"/>
      <c r="M246" s="87"/>
      <c r="N246" s="87"/>
      <c r="O246" s="87"/>
      <c r="P246" s="88"/>
    </row>
    <row r="247" spans="1:16">
      <c r="A247" s="85"/>
      <c r="B247" s="86"/>
      <c r="C247" s="86"/>
      <c r="D247" s="87"/>
      <c r="E247" s="87"/>
      <c r="F247" s="87"/>
      <c r="G247" s="87"/>
      <c r="H247" s="87"/>
      <c r="I247" s="87"/>
      <c r="J247" s="87"/>
      <c r="K247" s="87"/>
      <c r="L247" s="87"/>
      <c r="M247" s="87"/>
      <c r="N247" s="87"/>
      <c r="O247" s="87"/>
      <c r="P247" s="88"/>
    </row>
    <row r="248" spans="1:16">
      <c r="A248" s="85"/>
      <c r="B248" s="86"/>
      <c r="C248" s="86"/>
      <c r="D248" s="87"/>
      <c r="E248" s="87"/>
      <c r="F248" s="87"/>
      <c r="G248" s="87"/>
      <c r="H248" s="87"/>
      <c r="I248" s="87"/>
      <c r="J248" s="87"/>
      <c r="K248" s="87"/>
      <c r="L248" s="87"/>
      <c r="M248" s="87"/>
      <c r="N248" s="87"/>
      <c r="O248" s="87"/>
      <c r="P248" s="88"/>
    </row>
    <row r="249" spans="1:16">
      <c r="A249" s="85"/>
      <c r="B249" s="86"/>
      <c r="C249" s="86"/>
      <c r="D249" s="87"/>
      <c r="E249" s="87"/>
      <c r="F249" s="87"/>
      <c r="G249" s="87"/>
      <c r="H249" s="87"/>
      <c r="I249" s="87"/>
      <c r="J249" s="87"/>
      <c r="K249" s="87"/>
      <c r="L249" s="87"/>
      <c r="M249" s="87"/>
      <c r="N249" s="87"/>
      <c r="O249" s="87"/>
      <c r="P249" s="88"/>
    </row>
    <row r="250" spans="1:16">
      <c r="A250" s="85"/>
      <c r="B250" s="86"/>
      <c r="C250" s="86"/>
      <c r="D250" s="87"/>
      <c r="E250" s="87"/>
      <c r="F250" s="87"/>
      <c r="G250" s="87"/>
      <c r="H250" s="87"/>
      <c r="I250" s="87"/>
      <c r="J250" s="87"/>
      <c r="K250" s="87"/>
      <c r="L250" s="87"/>
      <c r="M250" s="87"/>
      <c r="N250" s="87"/>
      <c r="O250" s="87"/>
      <c r="P250" s="88"/>
    </row>
    <row r="251" spans="1:16">
      <c r="A251" s="85"/>
      <c r="B251" s="86"/>
      <c r="C251" s="86"/>
      <c r="D251" s="87"/>
      <c r="E251" s="87"/>
      <c r="F251" s="87"/>
      <c r="G251" s="87"/>
      <c r="H251" s="87"/>
      <c r="I251" s="87"/>
      <c r="J251" s="87"/>
      <c r="K251" s="87"/>
      <c r="L251" s="87"/>
      <c r="M251" s="87"/>
      <c r="N251" s="87"/>
      <c r="O251" s="87"/>
      <c r="P251" s="88"/>
    </row>
    <row r="252" spans="1:16">
      <c r="A252" s="85"/>
      <c r="B252" s="86"/>
      <c r="C252" s="86"/>
      <c r="D252" s="87"/>
      <c r="E252" s="87"/>
      <c r="F252" s="87"/>
      <c r="G252" s="87"/>
      <c r="H252" s="87"/>
      <c r="I252" s="87"/>
      <c r="J252" s="87"/>
      <c r="K252" s="87"/>
      <c r="L252" s="87"/>
      <c r="M252" s="87"/>
      <c r="N252" s="87"/>
      <c r="O252" s="87"/>
      <c r="P252" s="88"/>
    </row>
    <row r="253" spans="1:16">
      <c r="A253" s="85"/>
      <c r="B253" s="86"/>
      <c r="C253" s="86"/>
      <c r="D253" s="87"/>
      <c r="E253" s="87"/>
      <c r="F253" s="87"/>
      <c r="G253" s="87"/>
      <c r="H253" s="87"/>
      <c r="I253" s="87"/>
      <c r="J253" s="87"/>
      <c r="K253" s="87"/>
      <c r="L253" s="87"/>
      <c r="M253" s="87"/>
      <c r="N253" s="87"/>
      <c r="O253" s="87"/>
      <c r="P253" s="88"/>
    </row>
    <row r="254" spans="1:16">
      <c r="A254" s="85"/>
      <c r="B254" s="86"/>
      <c r="C254" s="86"/>
      <c r="D254" s="87"/>
      <c r="E254" s="87"/>
      <c r="F254" s="87"/>
      <c r="G254" s="87"/>
      <c r="H254" s="87"/>
      <c r="I254" s="87"/>
      <c r="J254" s="87"/>
      <c r="K254" s="87"/>
      <c r="L254" s="87"/>
      <c r="M254" s="87"/>
      <c r="N254" s="87"/>
      <c r="O254" s="87"/>
      <c r="P254" s="88"/>
    </row>
    <row r="255" spans="1:16">
      <c r="A255" s="85"/>
      <c r="B255" s="86"/>
      <c r="C255" s="86"/>
      <c r="D255" s="87"/>
      <c r="E255" s="87"/>
      <c r="F255" s="87"/>
      <c r="G255" s="87"/>
      <c r="H255" s="87"/>
      <c r="I255" s="87"/>
      <c r="J255" s="87"/>
      <c r="K255" s="87"/>
      <c r="L255" s="87"/>
      <c r="M255" s="87"/>
      <c r="N255" s="87"/>
      <c r="O255" s="87"/>
      <c r="P255" s="88"/>
    </row>
    <row r="256" spans="1:16">
      <c r="A256" s="85"/>
      <c r="B256" s="86"/>
      <c r="C256" s="86"/>
      <c r="D256" s="87"/>
      <c r="E256" s="87"/>
      <c r="F256" s="87"/>
      <c r="G256" s="87"/>
      <c r="H256" s="87"/>
      <c r="I256" s="87"/>
      <c r="J256" s="87"/>
      <c r="K256" s="87"/>
      <c r="L256" s="87"/>
      <c r="M256" s="87"/>
      <c r="N256" s="87"/>
      <c r="O256" s="87"/>
      <c r="P256" s="88"/>
    </row>
    <row r="257" spans="1:16">
      <c r="A257" s="85"/>
      <c r="B257" s="86"/>
      <c r="C257" s="86"/>
      <c r="D257" s="87"/>
      <c r="E257" s="87"/>
      <c r="F257" s="87"/>
      <c r="G257" s="87"/>
      <c r="H257" s="87"/>
      <c r="I257" s="87"/>
      <c r="J257" s="87"/>
      <c r="K257" s="87"/>
      <c r="L257" s="87"/>
      <c r="M257" s="87"/>
      <c r="N257" s="87"/>
      <c r="O257" s="87"/>
      <c r="P257" s="88"/>
    </row>
    <row r="258" spans="1:16">
      <c r="A258" s="85"/>
      <c r="B258" s="86"/>
      <c r="C258" s="86"/>
      <c r="D258" s="87"/>
      <c r="E258" s="87"/>
      <c r="F258" s="87"/>
      <c r="G258" s="87"/>
      <c r="H258" s="87"/>
      <c r="I258" s="87"/>
      <c r="J258" s="87"/>
      <c r="K258" s="87"/>
      <c r="L258" s="87"/>
      <c r="M258" s="87"/>
      <c r="N258" s="87"/>
      <c r="O258" s="87"/>
      <c r="P258" s="88"/>
    </row>
    <row r="259" spans="1:16">
      <c r="A259" s="85"/>
      <c r="B259" s="86"/>
      <c r="C259" s="86"/>
      <c r="D259" s="87"/>
      <c r="E259" s="87"/>
      <c r="F259" s="87"/>
      <c r="G259" s="87"/>
      <c r="H259" s="87"/>
      <c r="I259" s="87"/>
      <c r="J259" s="87"/>
      <c r="K259" s="87"/>
      <c r="L259" s="87"/>
      <c r="M259" s="87"/>
      <c r="N259" s="87"/>
      <c r="O259" s="87"/>
      <c r="P259" s="88"/>
    </row>
    <row r="260" spans="1:16">
      <c r="A260" s="85"/>
      <c r="B260" s="86"/>
      <c r="C260" s="86"/>
      <c r="D260" s="87"/>
      <c r="E260" s="87"/>
      <c r="F260" s="87"/>
      <c r="G260" s="87"/>
      <c r="H260" s="87"/>
      <c r="I260" s="87"/>
      <c r="J260" s="87"/>
      <c r="K260" s="87"/>
      <c r="L260" s="87"/>
      <c r="M260" s="87"/>
      <c r="N260" s="87"/>
      <c r="O260" s="87"/>
      <c r="P260" s="88"/>
    </row>
    <row r="261" spans="1:16">
      <c r="A261" s="85"/>
      <c r="B261" s="86"/>
      <c r="C261" s="86"/>
      <c r="D261" s="87"/>
      <c r="E261" s="87"/>
      <c r="F261" s="87"/>
      <c r="G261" s="87"/>
      <c r="H261" s="87"/>
      <c r="I261" s="87"/>
      <c r="J261" s="87"/>
      <c r="K261" s="87"/>
      <c r="L261" s="87"/>
      <c r="M261" s="87"/>
      <c r="N261" s="87"/>
      <c r="O261" s="87"/>
      <c r="P261" s="88"/>
    </row>
  </sheetData>
  <sheetProtection sheet="1" objects="1" scenarios="1" formatCells="0" formatColumns="0" formatRows="0"/>
  <mergeCells count="1">
    <mergeCell ref="C3:C32"/>
  </mergeCells>
  <phoneticPr fontId="19" type="noConversion"/>
  <pageMargins left="0.35000000000000003" right="0.35000000000000003" top="0.98" bottom="0.25" header="0.31" footer="0.31"/>
  <pageSetup paperSize="10" scale="37"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32" max="16383" man="1"/>
  </rowBreak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25"/>
  <sheetViews>
    <sheetView topLeftCell="B1" workbookViewId="0">
      <selection activeCell="C7" sqref="C7"/>
    </sheetView>
  </sheetViews>
  <sheetFormatPr baseColWidth="10" defaultColWidth="20.85546875" defaultRowHeight="12" x14ac:dyDescent="0"/>
  <cols>
    <col min="1" max="1" width="2.7109375" style="23" customWidth="1"/>
    <col min="2" max="2" width="30.7109375" style="4" customWidth="1"/>
    <col min="3" max="12" width="10" style="25" customWidth="1"/>
    <col min="13" max="13" width="28.140625" style="3" customWidth="1"/>
    <col min="14" max="14" width="7.42578125" style="4" customWidth="1"/>
    <col min="15" max="16384" width="20.85546875" style="4"/>
  </cols>
  <sheetData>
    <row r="1" spans="1:13" ht="24" customHeight="1">
      <c r="A1" s="1">
        <v>1</v>
      </c>
      <c r="B1" s="70" t="s">
        <v>24</v>
      </c>
      <c r="C1" s="2" t="s">
        <v>93</v>
      </c>
      <c r="D1" s="2" t="s">
        <v>25</v>
      </c>
      <c r="E1" s="2" t="s">
        <v>26</v>
      </c>
      <c r="F1" s="2" t="s">
        <v>27</v>
      </c>
      <c r="G1" s="2" t="s">
        <v>28</v>
      </c>
      <c r="H1" s="2" t="s">
        <v>90</v>
      </c>
      <c r="I1" s="2" t="s">
        <v>29</v>
      </c>
      <c r="J1" s="2" t="s">
        <v>30</v>
      </c>
      <c r="K1" s="2" t="s">
        <v>31</v>
      </c>
      <c r="L1" s="2" t="s">
        <v>32</v>
      </c>
      <c r="M1" s="3" t="s">
        <v>33</v>
      </c>
    </row>
    <row r="2" spans="1:13" ht="24" customHeight="1">
      <c r="A2" s="5">
        <f t="shared" ref="A2:A24" si="0">A1+1</f>
        <v>2</v>
      </c>
      <c r="B2" s="6" t="s">
        <v>34</v>
      </c>
      <c r="C2" s="2">
        <v>38</v>
      </c>
      <c r="D2" s="2">
        <v>12</v>
      </c>
      <c r="E2" s="2">
        <v>24</v>
      </c>
      <c r="F2" s="2">
        <v>35</v>
      </c>
      <c r="G2" s="2">
        <v>30</v>
      </c>
      <c r="H2" s="2">
        <v>17</v>
      </c>
      <c r="I2" s="2">
        <v>19</v>
      </c>
      <c r="J2" s="2"/>
      <c r="K2" s="2"/>
      <c r="L2" s="2"/>
    </row>
    <row r="3" spans="1:13" ht="24" customHeight="1">
      <c r="A3" s="5">
        <f t="shared" si="0"/>
        <v>3</v>
      </c>
      <c r="B3" s="6" t="s">
        <v>35</v>
      </c>
      <c r="C3" s="2">
        <v>15.5</v>
      </c>
      <c r="D3" s="2">
        <v>13.5</v>
      </c>
      <c r="E3" s="2">
        <v>13.5</v>
      </c>
      <c r="F3" s="2">
        <v>15</v>
      </c>
      <c r="G3" s="2">
        <v>14.3</v>
      </c>
      <c r="H3" s="2">
        <v>12.5</v>
      </c>
      <c r="I3" s="2">
        <v>17</v>
      </c>
      <c r="J3" s="2"/>
      <c r="K3" s="2"/>
      <c r="L3" s="2"/>
      <c r="M3" s="7" t="s">
        <v>36</v>
      </c>
    </row>
    <row r="4" spans="1:13" ht="24" customHeight="1">
      <c r="A4" s="5">
        <f t="shared" si="0"/>
        <v>4</v>
      </c>
      <c r="B4" s="6" t="s">
        <v>37</v>
      </c>
      <c r="C4" s="2" t="s">
        <v>38</v>
      </c>
      <c r="D4" s="2" t="s">
        <v>38</v>
      </c>
      <c r="E4" s="2" t="s">
        <v>38</v>
      </c>
      <c r="F4" s="2" t="s">
        <v>38</v>
      </c>
      <c r="G4" s="2" t="s">
        <v>38</v>
      </c>
      <c r="H4" s="2" t="s">
        <v>38</v>
      </c>
      <c r="I4" s="2" t="s">
        <v>38</v>
      </c>
      <c r="J4" s="2"/>
      <c r="K4" s="2"/>
      <c r="L4" s="2"/>
      <c r="M4" s="7"/>
    </row>
    <row r="5" spans="1:13" ht="24" customHeight="1">
      <c r="A5" s="5">
        <f t="shared" si="0"/>
        <v>5</v>
      </c>
      <c r="B5" s="6" t="s">
        <v>106</v>
      </c>
      <c r="C5" s="76">
        <v>1.3106599999999999</v>
      </c>
      <c r="D5" s="71">
        <f>C5</f>
        <v>1.3106599999999999</v>
      </c>
      <c r="E5" s="71">
        <f t="shared" ref="E5:L5" si="1">D5</f>
        <v>1.3106599999999999</v>
      </c>
      <c r="F5" s="71">
        <f t="shared" si="1"/>
        <v>1.3106599999999999</v>
      </c>
      <c r="G5" s="71">
        <f t="shared" si="1"/>
        <v>1.3106599999999999</v>
      </c>
      <c r="H5" s="71">
        <f t="shared" si="1"/>
        <v>1.3106599999999999</v>
      </c>
      <c r="I5" s="71">
        <f t="shared" si="1"/>
        <v>1.3106599999999999</v>
      </c>
      <c r="J5" s="71">
        <f t="shared" si="1"/>
        <v>1.3106599999999999</v>
      </c>
      <c r="K5" s="71">
        <f t="shared" si="1"/>
        <v>1.3106599999999999</v>
      </c>
      <c r="L5" s="71">
        <f t="shared" si="1"/>
        <v>1.3106599999999999</v>
      </c>
      <c r="M5" s="72" t="s">
        <v>21</v>
      </c>
    </row>
    <row r="6" spans="1:13" ht="24" customHeight="1">
      <c r="A6" s="5">
        <f t="shared" si="0"/>
        <v>6</v>
      </c>
      <c r="B6" s="6" t="s">
        <v>107</v>
      </c>
      <c r="C6" s="73">
        <v>3</v>
      </c>
      <c r="D6" s="73">
        <v>3</v>
      </c>
      <c r="E6" s="73">
        <v>3</v>
      </c>
      <c r="F6" s="73">
        <v>3</v>
      </c>
      <c r="G6" s="73">
        <v>3</v>
      </c>
      <c r="H6" s="73">
        <v>3</v>
      </c>
      <c r="I6" s="73">
        <v>3</v>
      </c>
      <c r="J6" s="73">
        <v>3</v>
      </c>
      <c r="K6" s="73">
        <v>3</v>
      </c>
      <c r="L6" s="73">
        <v>3</v>
      </c>
      <c r="M6" s="7" t="s">
        <v>70</v>
      </c>
    </row>
    <row r="7" spans="1:13" ht="24" customHeight="1">
      <c r="A7" s="5">
        <f t="shared" si="0"/>
        <v>7</v>
      </c>
      <c r="B7" s="6" t="s">
        <v>71</v>
      </c>
      <c r="C7" s="74">
        <f>450/1665</f>
        <v>0.27027027027027029</v>
      </c>
      <c r="D7" s="74">
        <v>0</v>
      </c>
      <c r="E7" s="74">
        <v>0</v>
      </c>
      <c r="F7" s="74">
        <v>0</v>
      </c>
      <c r="G7" s="74">
        <v>0</v>
      </c>
      <c r="H7" s="74">
        <v>0</v>
      </c>
      <c r="I7" s="74">
        <v>0</v>
      </c>
      <c r="J7" s="74"/>
      <c r="K7" s="74"/>
      <c r="L7" s="74"/>
      <c r="M7" s="3" t="s">
        <v>134</v>
      </c>
    </row>
    <row r="8" spans="1:13" ht="24" customHeight="1">
      <c r="A8" s="5">
        <f>A7+1</f>
        <v>8</v>
      </c>
      <c r="B8" s="8" t="s">
        <v>135</v>
      </c>
      <c r="C8" s="9">
        <v>28211.67</v>
      </c>
      <c r="D8" s="9">
        <v>18697.080000000002</v>
      </c>
      <c r="E8" s="9">
        <v>22642.5</v>
      </c>
      <c r="F8" s="9">
        <v>26870.83</v>
      </c>
      <c r="G8" s="9">
        <v>24833.42</v>
      </c>
      <c r="H8" s="9">
        <v>20342.830000000002</v>
      </c>
      <c r="I8" s="9">
        <v>21002.42</v>
      </c>
      <c r="J8" s="9">
        <v>0</v>
      </c>
      <c r="K8" s="9">
        <v>0</v>
      </c>
      <c r="L8" s="9">
        <v>0</v>
      </c>
      <c r="M8" s="3" t="s">
        <v>136</v>
      </c>
    </row>
    <row r="9" spans="1:13" ht="24" customHeight="1">
      <c r="A9" s="5">
        <f t="shared" si="0"/>
        <v>9</v>
      </c>
      <c r="B9" s="10" t="s">
        <v>137</v>
      </c>
      <c r="C9" s="11">
        <f t="shared" ref="C9:L9" si="2">ROUND(C$8*C$7,2)</f>
        <v>7624.78</v>
      </c>
      <c r="D9" s="11">
        <f t="shared" si="2"/>
        <v>0</v>
      </c>
      <c r="E9" s="11">
        <f t="shared" si="2"/>
        <v>0</v>
      </c>
      <c r="F9" s="11">
        <f t="shared" si="2"/>
        <v>0</v>
      </c>
      <c r="G9" s="11">
        <f t="shared" si="2"/>
        <v>0</v>
      </c>
      <c r="H9" s="11">
        <f t="shared" si="2"/>
        <v>0</v>
      </c>
      <c r="I9" s="11">
        <f t="shared" si="2"/>
        <v>0</v>
      </c>
      <c r="J9" s="11">
        <f t="shared" si="2"/>
        <v>0</v>
      </c>
      <c r="K9" s="11">
        <f t="shared" si="2"/>
        <v>0</v>
      </c>
      <c r="L9" s="11">
        <f t="shared" si="2"/>
        <v>0</v>
      </c>
    </row>
    <row r="10" spans="1:13" ht="24" customHeight="1">
      <c r="A10" s="5">
        <f>A9+1</f>
        <v>10</v>
      </c>
      <c r="B10" s="14" t="s">
        <v>162</v>
      </c>
      <c r="C10" s="15"/>
      <c r="D10" s="15"/>
      <c r="E10" s="15"/>
      <c r="F10" s="15"/>
      <c r="G10" s="15"/>
      <c r="H10" s="15"/>
      <c r="I10" s="15"/>
      <c r="J10" s="15"/>
      <c r="K10" s="15"/>
      <c r="L10" s="15"/>
      <c r="M10" s="3" t="s">
        <v>209</v>
      </c>
    </row>
    <row r="11" spans="1:13" ht="24" customHeight="1">
      <c r="A11" s="5">
        <f t="shared" si="0"/>
        <v>11</v>
      </c>
      <c r="B11" s="16" t="s">
        <v>210</v>
      </c>
      <c r="C11" s="17"/>
      <c r="D11" s="17"/>
      <c r="E11" s="17"/>
      <c r="F11" s="17"/>
      <c r="G11" s="17"/>
      <c r="H11" s="17"/>
      <c r="I11" s="17"/>
      <c r="J11" s="17"/>
      <c r="K11" s="17"/>
      <c r="L11" s="17"/>
      <c r="M11" s="3" t="s">
        <v>209</v>
      </c>
    </row>
    <row r="12" spans="1:13" ht="24" customHeight="1">
      <c r="A12" s="5">
        <f t="shared" si="0"/>
        <v>12</v>
      </c>
      <c r="B12" s="16" t="s">
        <v>148</v>
      </c>
      <c r="C12" s="18"/>
      <c r="D12" s="18"/>
      <c r="E12" s="18"/>
      <c r="F12" s="18"/>
      <c r="G12" s="18"/>
      <c r="H12" s="18"/>
      <c r="I12" s="18"/>
      <c r="J12" s="18"/>
      <c r="K12" s="18"/>
      <c r="L12" s="18"/>
      <c r="M12" s="3" t="s">
        <v>209</v>
      </c>
    </row>
    <row r="13" spans="1:13" ht="24" customHeight="1">
      <c r="A13" s="5">
        <f t="shared" si="0"/>
        <v>13</v>
      </c>
      <c r="B13" s="14" t="s">
        <v>149</v>
      </c>
      <c r="C13" s="15"/>
      <c r="D13" s="15"/>
      <c r="E13" s="15"/>
      <c r="F13" s="15"/>
      <c r="G13" s="15"/>
      <c r="H13" s="15"/>
      <c r="I13" s="15"/>
      <c r="J13" s="15"/>
      <c r="K13" s="15"/>
      <c r="L13" s="15"/>
      <c r="M13" s="3" t="s">
        <v>47</v>
      </c>
    </row>
    <row r="14" spans="1:13" ht="24" customHeight="1">
      <c r="A14" s="5">
        <f t="shared" si="0"/>
        <v>14</v>
      </c>
      <c r="B14" s="16" t="s">
        <v>48</v>
      </c>
      <c r="C14" s="17"/>
      <c r="D14" s="17"/>
      <c r="E14" s="17"/>
      <c r="F14" s="17"/>
      <c r="G14" s="17"/>
      <c r="H14" s="17"/>
      <c r="I14" s="17"/>
      <c r="J14" s="17"/>
      <c r="K14" s="17"/>
      <c r="L14" s="17"/>
      <c r="M14" s="3" t="s">
        <v>47</v>
      </c>
    </row>
    <row r="15" spans="1:13" ht="24" customHeight="1">
      <c r="A15" s="75">
        <f t="shared" si="0"/>
        <v>15</v>
      </c>
      <c r="B15" s="14" t="s">
        <v>49</v>
      </c>
      <c r="C15" s="11">
        <f>ROUND(SUM(C10:C14)/12*C5,2)</f>
        <v>0</v>
      </c>
      <c r="D15" s="11">
        <f t="shared" ref="D15:L15" si="3">ROUND(SUM(D10:D14)/12*D5,2)</f>
        <v>0</v>
      </c>
      <c r="E15" s="11">
        <f t="shared" si="3"/>
        <v>0</v>
      </c>
      <c r="F15" s="11">
        <f t="shared" si="3"/>
        <v>0</v>
      </c>
      <c r="G15" s="11">
        <f t="shared" si="3"/>
        <v>0</v>
      </c>
      <c r="H15" s="11">
        <f t="shared" si="3"/>
        <v>0</v>
      </c>
      <c r="I15" s="11">
        <f t="shared" si="3"/>
        <v>0</v>
      </c>
      <c r="J15" s="11">
        <f t="shared" si="3"/>
        <v>0</v>
      </c>
      <c r="K15" s="11">
        <f t="shared" si="3"/>
        <v>0</v>
      </c>
      <c r="L15" s="11">
        <f t="shared" si="3"/>
        <v>0</v>
      </c>
    </row>
    <row r="16" spans="1:13" ht="24" customHeight="1">
      <c r="A16" s="5">
        <f t="shared" si="0"/>
        <v>16</v>
      </c>
      <c r="B16" s="12" t="s">
        <v>50</v>
      </c>
      <c r="C16" s="20"/>
      <c r="D16" s="20"/>
      <c r="E16" s="20"/>
      <c r="F16" s="20"/>
      <c r="G16" s="20"/>
      <c r="H16" s="20"/>
      <c r="I16" s="20"/>
      <c r="J16" s="20"/>
      <c r="K16" s="20"/>
      <c r="L16" s="20"/>
      <c r="M16" s="3" t="s">
        <v>51</v>
      </c>
    </row>
    <row r="17" spans="1:13" ht="24" customHeight="1">
      <c r="A17" s="5">
        <f t="shared" si="0"/>
        <v>17</v>
      </c>
      <c r="B17" s="8" t="s">
        <v>50</v>
      </c>
      <c r="C17" s="20"/>
      <c r="D17" s="20"/>
      <c r="E17" s="20"/>
      <c r="F17" s="20"/>
      <c r="G17" s="20"/>
      <c r="H17" s="20"/>
      <c r="I17" s="20"/>
      <c r="J17" s="20"/>
      <c r="K17" s="20"/>
      <c r="L17" s="20"/>
      <c r="M17" s="3" t="s">
        <v>51</v>
      </c>
    </row>
    <row r="18" spans="1:13" ht="24" customHeight="1">
      <c r="A18" s="5">
        <f t="shared" si="0"/>
        <v>18</v>
      </c>
      <c r="B18" s="8" t="s">
        <v>78</v>
      </c>
      <c r="C18" s="20">
        <f>116.55*(C7&gt;=0.4054)</f>
        <v>0</v>
      </c>
      <c r="D18" s="20">
        <f>116.55*(D7&gt;=0.4054)</f>
        <v>0</v>
      </c>
      <c r="E18" s="20">
        <f t="shared" ref="E18:L18" si="4">116.55*(E7&gt;=0.4054)</f>
        <v>0</v>
      </c>
      <c r="F18" s="20">
        <f t="shared" si="4"/>
        <v>0</v>
      </c>
      <c r="G18" s="20">
        <f t="shared" si="4"/>
        <v>0</v>
      </c>
      <c r="H18" s="20">
        <f t="shared" si="4"/>
        <v>0</v>
      </c>
      <c r="I18" s="20">
        <f t="shared" si="4"/>
        <v>0</v>
      </c>
      <c r="J18" s="20">
        <f t="shared" si="4"/>
        <v>0</v>
      </c>
      <c r="K18" s="20">
        <f t="shared" si="4"/>
        <v>0</v>
      </c>
      <c r="L18" s="20">
        <f t="shared" si="4"/>
        <v>0</v>
      </c>
      <c r="M18" s="3" t="s">
        <v>79</v>
      </c>
    </row>
    <row r="19" spans="1:13" ht="24" customHeight="1">
      <c r="A19" s="5">
        <f t="shared" si="0"/>
        <v>19</v>
      </c>
      <c r="B19" s="10" t="s">
        <v>61</v>
      </c>
      <c r="C19" s="21">
        <f>C9+SUM(C15:C18)</f>
        <v>7624.78</v>
      </c>
      <c r="D19" s="21">
        <f t="shared" ref="D19:L19" si="5">D9+SUM(D15:D18)</f>
        <v>0</v>
      </c>
      <c r="E19" s="21">
        <f t="shared" si="5"/>
        <v>0</v>
      </c>
      <c r="F19" s="21">
        <f t="shared" si="5"/>
        <v>0</v>
      </c>
      <c r="G19" s="21">
        <f t="shared" si="5"/>
        <v>0</v>
      </c>
      <c r="H19" s="21">
        <f t="shared" si="5"/>
        <v>0</v>
      </c>
      <c r="I19" s="21">
        <f t="shared" si="5"/>
        <v>0</v>
      </c>
      <c r="J19" s="21">
        <f t="shared" si="5"/>
        <v>0</v>
      </c>
      <c r="K19" s="21">
        <f t="shared" si="5"/>
        <v>0</v>
      </c>
      <c r="L19" s="21">
        <f t="shared" si="5"/>
        <v>0</v>
      </c>
    </row>
    <row r="20" spans="1:13" ht="24" customHeight="1">
      <c r="A20" s="5">
        <f t="shared" si="0"/>
        <v>20</v>
      </c>
      <c r="B20" s="12" t="s">
        <v>80</v>
      </c>
      <c r="C20" s="19">
        <v>387.65</v>
      </c>
      <c r="D20" s="19">
        <v>0</v>
      </c>
      <c r="E20" s="19">
        <v>0</v>
      </c>
      <c r="F20" s="19">
        <v>0</v>
      </c>
      <c r="G20" s="19">
        <v>0</v>
      </c>
      <c r="H20" s="19">
        <v>0</v>
      </c>
      <c r="I20" s="19">
        <v>0</v>
      </c>
      <c r="J20" s="19">
        <v>0</v>
      </c>
      <c r="K20" s="19">
        <v>0</v>
      </c>
      <c r="L20" s="19">
        <v>0</v>
      </c>
      <c r="M20" s="3" t="s">
        <v>52</v>
      </c>
    </row>
    <row r="21" spans="1:13" ht="24" customHeight="1">
      <c r="A21" s="5">
        <f t="shared" si="0"/>
        <v>21</v>
      </c>
      <c r="B21" s="10" t="s">
        <v>53</v>
      </c>
      <c r="C21" s="21">
        <f>C19+C20*(LEFT(C4,1)="J")-C20*(LEFT(C4,1)&lt;&gt;"J")</f>
        <v>8012.4299999999994</v>
      </c>
      <c r="D21" s="21">
        <f t="shared" ref="D21:L21" si="6">SUM(D19:D20)</f>
        <v>0</v>
      </c>
      <c r="E21" s="21">
        <f t="shared" si="6"/>
        <v>0</v>
      </c>
      <c r="F21" s="21">
        <f t="shared" si="6"/>
        <v>0</v>
      </c>
      <c r="G21" s="21">
        <f t="shared" si="6"/>
        <v>0</v>
      </c>
      <c r="H21" s="21">
        <f t="shared" si="6"/>
        <v>0</v>
      </c>
      <c r="I21" s="21">
        <f t="shared" si="6"/>
        <v>0</v>
      </c>
      <c r="J21" s="21">
        <f t="shared" si="6"/>
        <v>0</v>
      </c>
      <c r="K21" s="21">
        <f t="shared" si="6"/>
        <v>0</v>
      </c>
      <c r="L21" s="21">
        <f t="shared" si="6"/>
        <v>0</v>
      </c>
    </row>
    <row r="22" spans="1:13" ht="24" customHeight="1">
      <c r="A22" s="5">
        <f t="shared" si="0"/>
        <v>22</v>
      </c>
      <c r="B22" s="8" t="s">
        <v>54</v>
      </c>
      <c r="C22" s="22">
        <f t="shared" ref="C22:L22" si="7">C20*3</f>
        <v>1162.9499999999998</v>
      </c>
      <c r="D22" s="22">
        <f t="shared" si="7"/>
        <v>0</v>
      </c>
      <c r="E22" s="22">
        <f t="shared" si="7"/>
        <v>0</v>
      </c>
      <c r="F22" s="22">
        <f t="shared" si="7"/>
        <v>0</v>
      </c>
      <c r="G22" s="22">
        <f t="shared" si="7"/>
        <v>0</v>
      </c>
      <c r="H22" s="22">
        <f t="shared" si="7"/>
        <v>0</v>
      </c>
      <c r="I22" s="22">
        <f t="shared" si="7"/>
        <v>0</v>
      </c>
      <c r="J22" s="22">
        <f t="shared" si="7"/>
        <v>0</v>
      </c>
      <c r="K22" s="22">
        <f t="shared" si="7"/>
        <v>0</v>
      </c>
      <c r="L22" s="22">
        <f t="shared" si="7"/>
        <v>0</v>
      </c>
    </row>
    <row r="23" spans="1:13" ht="24" customHeight="1" thickBot="1">
      <c r="A23" s="5">
        <f t="shared" si="0"/>
        <v>23</v>
      </c>
      <c r="B23" s="65" t="s">
        <v>168</v>
      </c>
      <c r="C23" s="66">
        <f>90*((C7&gt;=9/37)+(C7&gt;=18/37)+(C7&gt;=27/37))</f>
        <v>90</v>
      </c>
      <c r="D23" s="66">
        <f t="shared" ref="D23:L23" si="8">90*((D7&gt;=9/37)+(D7&gt;=18/37)+(D7&gt;=27/37))</f>
        <v>0</v>
      </c>
      <c r="E23" s="66">
        <f t="shared" si="8"/>
        <v>0</v>
      </c>
      <c r="F23" s="66">
        <f t="shared" si="8"/>
        <v>0</v>
      </c>
      <c r="G23" s="66">
        <f t="shared" si="8"/>
        <v>0</v>
      </c>
      <c r="H23" s="66">
        <f t="shared" si="8"/>
        <v>0</v>
      </c>
      <c r="I23" s="66">
        <f t="shared" si="8"/>
        <v>0</v>
      </c>
      <c r="J23" s="66">
        <f t="shared" si="8"/>
        <v>0</v>
      </c>
      <c r="K23" s="66">
        <f t="shared" si="8"/>
        <v>0</v>
      </c>
      <c r="L23" s="66">
        <f t="shared" si="8"/>
        <v>0</v>
      </c>
      <c r="M23" s="3" t="s">
        <v>55</v>
      </c>
    </row>
    <row r="24" spans="1:13" ht="24" customHeight="1" thickBot="1">
      <c r="A24" s="5">
        <f t="shared" si="0"/>
        <v>24</v>
      </c>
      <c r="B24" s="58" t="s">
        <v>56</v>
      </c>
      <c r="C24" s="59">
        <f>C21+C20*2</f>
        <v>8787.73</v>
      </c>
      <c r="D24" s="59">
        <f t="shared" ref="D24:L24" si="9">D21+D20*2</f>
        <v>0</v>
      </c>
      <c r="E24" s="59">
        <f t="shared" si="9"/>
        <v>0</v>
      </c>
      <c r="F24" s="59">
        <f t="shared" si="9"/>
        <v>0</v>
      </c>
      <c r="G24" s="59">
        <f t="shared" si="9"/>
        <v>0</v>
      </c>
      <c r="H24" s="59">
        <f t="shared" si="9"/>
        <v>0</v>
      </c>
      <c r="I24" s="59">
        <f t="shared" si="9"/>
        <v>0</v>
      </c>
      <c r="J24" s="59">
        <f t="shared" si="9"/>
        <v>0</v>
      </c>
      <c r="K24" s="59">
        <f t="shared" si="9"/>
        <v>0</v>
      </c>
      <c r="L24" s="59">
        <f t="shared" si="9"/>
        <v>0</v>
      </c>
      <c r="M24" s="60" t="str">
        <f>ROUND(SUM(C24:L24),0)&amp;" i alt pr. måned"</f>
        <v>8788 i alt pr. måned</v>
      </c>
    </row>
    <row r="25" spans="1:13" ht="25" customHeight="1">
      <c r="B25" s="24" t="s">
        <v>96</v>
      </c>
    </row>
  </sheetData>
  <phoneticPr fontId="19" type="noConversion"/>
  <pageMargins left="0.35433070866141736" right="0.35433070866141736" top="0.59055118110236227" bottom="0.59055118110236227" header="0.31496062992125984" footer="0.31496062992125984"/>
  <headerFooter>
    <oddHeader>&amp;L&amp;C&amp;"Helvetica,Bold"&amp;14Lønberegning for XX Friskole &amp;R</oddHeader>
    <oddFooter>&amp;LFriskolernes Kontor&amp;C&amp;RUdskrevet den &amp;D kl. &amp;T</oddFooter>
  </headerFooter>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G134"/>
  <sheetViews>
    <sheetView showGridLines="0" topLeftCell="A87" workbookViewId="0">
      <selection activeCell="F107" sqref="F107"/>
    </sheetView>
  </sheetViews>
  <sheetFormatPr baseColWidth="10" defaultColWidth="10.5703125" defaultRowHeight="13" x14ac:dyDescent="0"/>
  <cols>
    <col min="1" max="6" width="10.5703125" style="310"/>
    <col min="7" max="7" width="12.42578125" style="310" bestFit="1" customWidth="1"/>
    <col min="8" max="16384" width="10.5703125" style="310"/>
  </cols>
  <sheetData>
    <row r="1" spans="1:7">
      <c r="A1" s="307" t="s">
        <v>307</v>
      </c>
      <c r="B1" s="308"/>
      <c r="C1" s="308"/>
      <c r="D1" s="308"/>
      <c r="E1" s="308"/>
      <c r="F1" s="308"/>
      <c r="G1" s="309"/>
    </row>
    <row r="2" spans="1:7">
      <c r="A2" s="311"/>
      <c r="B2" s="312"/>
      <c r="C2" s="313"/>
      <c r="D2" s="314" t="s">
        <v>57</v>
      </c>
      <c r="E2" s="313"/>
      <c r="F2" s="315"/>
      <c r="G2" s="316"/>
    </row>
    <row r="3" spans="1:7">
      <c r="A3" s="317" t="s">
        <v>58</v>
      </c>
      <c r="B3" s="318" t="s">
        <v>87</v>
      </c>
      <c r="C3" s="319" t="s">
        <v>88</v>
      </c>
      <c r="D3" s="319" t="s">
        <v>89</v>
      </c>
      <c r="E3" s="319" t="s">
        <v>90</v>
      </c>
      <c r="F3" s="319" t="s">
        <v>173</v>
      </c>
      <c r="G3" s="320" t="s">
        <v>174</v>
      </c>
    </row>
    <row r="4" spans="1:7">
      <c r="A4" s="321">
        <v>1</v>
      </c>
      <c r="B4" s="322">
        <v>184817</v>
      </c>
      <c r="C4" s="323">
        <v>188265</v>
      </c>
      <c r="D4" s="323">
        <v>190650</v>
      </c>
      <c r="E4" s="323">
        <v>194098</v>
      </c>
      <c r="F4" s="323">
        <v>196484</v>
      </c>
      <c r="G4" s="324">
        <v>171917.38</v>
      </c>
    </row>
    <row r="5" spans="1:7">
      <c r="A5" s="321">
        <v>2</v>
      </c>
      <c r="B5" s="322">
        <v>187655</v>
      </c>
      <c r="C5" s="323">
        <v>191187</v>
      </c>
      <c r="D5" s="323">
        <v>193632</v>
      </c>
      <c r="E5" s="323">
        <v>197161</v>
      </c>
      <c r="F5" s="323">
        <v>199607</v>
      </c>
      <c r="G5" s="324">
        <v>174577.34</v>
      </c>
    </row>
    <row r="6" spans="1:7">
      <c r="A6" s="321">
        <v>3</v>
      </c>
      <c r="B6" s="322">
        <v>190571</v>
      </c>
      <c r="C6" s="323">
        <v>194187</v>
      </c>
      <c r="D6" s="323">
        <v>196692</v>
      </c>
      <c r="E6" s="323">
        <v>200308</v>
      </c>
      <c r="F6" s="323">
        <v>202814</v>
      </c>
      <c r="G6" s="324">
        <v>177309.48</v>
      </c>
    </row>
    <row r="7" spans="1:7">
      <c r="A7" s="321">
        <v>4</v>
      </c>
      <c r="B7" s="322">
        <v>193567</v>
      </c>
      <c r="C7" s="323">
        <v>197274</v>
      </c>
      <c r="D7" s="323">
        <v>199840</v>
      </c>
      <c r="E7" s="323">
        <v>203545</v>
      </c>
      <c r="F7" s="323">
        <v>206110</v>
      </c>
      <c r="G7" s="324">
        <v>180117.41</v>
      </c>
    </row>
    <row r="8" spans="1:7">
      <c r="A8" s="321">
        <v>5</v>
      </c>
      <c r="B8" s="322">
        <v>196645</v>
      </c>
      <c r="C8" s="323">
        <v>200442</v>
      </c>
      <c r="D8" s="323">
        <v>203072</v>
      </c>
      <c r="E8" s="323">
        <v>206869</v>
      </c>
      <c r="F8" s="323">
        <v>209497</v>
      </c>
      <c r="G8" s="324">
        <v>183001.14</v>
      </c>
    </row>
    <row r="9" spans="1:7">
      <c r="A9" s="321">
        <v>6</v>
      </c>
      <c r="B9" s="322">
        <v>199810</v>
      </c>
      <c r="C9" s="323">
        <v>203700</v>
      </c>
      <c r="D9" s="323">
        <v>206395</v>
      </c>
      <c r="E9" s="323">
        <v>210285</v>
      </c>
      <c r="F9" s="323">
        <v>212978</v>
      </c>
      <c r="G9" s="324">
        <v>185966.06</v>
      </c>
    </row>
    <row r="10" spans="1:7">
      <c r="A10" s="321">
        <v>7</v>
      </c>
      <c r="B10" s="322">
        <v>203058</v>
      </c>
      <c r="C10" s="323">
        <v>207045</v>
      </c>
      <c r="D10" s="323">
        <v>209805</v>
      </c>
      <c r="E10" s="323">
        <v>213792</v>
      </c>
      <c r="F10" s="323">
        <v>216551</v>
      </c>
      <c r="G10" s="324">
        <v>189010.4</v>
      </c>
    </row>
    <row r="11" spans="1:7">
      <c r="A11" s="321">
        <v>8</v>
      </c>
      <c r="B11" s="322">
        <v>206396</v>
      </c>
      <c r="C11" s="323">
        <v>210482</v>
      </c>
      <c r="D11" s="323">
        <v>213311</v>
      </c>
      <c r="E11" s="323">
        <v>217397</v>
      </c>
      <c r="F11" s="323">
        <v>220226</v>
      </c>
      <c r="G11" s="324">
        <v>192139.54</v>
      </c>
    </row>
    <row r="12" spans="1:7">
      <c r="A12" s="321">
        <v>9</v>
      </c>
      <c r="B12" s="322">
        <v>209829</v>
      </c>
      <c r="C12" s="323">
        <v>214015</v>
      </c>
      <c r="D12" s="323">
        <v>216916</v>
      </c>
      <c r="E12" s="323">
        <v>221102</v>
      </c>
      <c r="F12" s="323">
        <v>224002</v>
      </c>
      <c r="G12" s="324">
        <v>195355.31</v>
      </c>
    </row>
    <row r="13" spans="1:7">
      <c r="A13" s="321">
        <v>10</v>
      </c>
      <c r="B13" s="322">
        <v>213353</v>
      </c>
      <c r="C13" s="323">
        <v>217646</v>
      </c>
      <c r="D13" s="323">
        <v>220617</v>
      </c>
      <c r="E13" s="323">
        <v>224909</v>
      </c>
      <c r="F13" s="323">
        <v>227882</v>
      </c>
      <c r="G13" s="324">
        <v>198659.5</v>
      </c>
    </row>
    <row r="14" spans="1:7">
      <c r="A14" s="321">
        <v>11</v>
      </c>
      <c r="B14" s="322">
        <v>216134</v>
      </c>
      <c r="C14" s="323">
        <v>220533</v>
      </c>
      <c r="D14" s="323">
        <v>223579</v>
      </c>
      <c r="E14" s="323">
        <v>227978</v>
      </c>
      <c r="F14" s="323">
        <v>231023</v>
      </c>
      <c r="G14" s="324">
        <v>202053.93</v>
      </c>
    </row>
    <row r="15" spans="1:7">
      <c r="A15" s="321">
        <v>12</v>
      </c>
      <c r="B15" s="322">
        <v>219855</v>
      </c>
      <c r="C15" s="323">
        <v>224365</v>
      </c>
      <c r="D15" s="323">
        <v>227489</v>
      </c>
      <c r="E15" s="323">
        <v>231997</v>
      </c>
      <c r="F15" s="323">
        <v>235119</v>
      </c>
      <c r="G15" s="324">
        <v>205542.18</v>
      </c>
    </row>
    <row r="16" spans="1:7">
      <c r="A16" s="321">
        <v>13</v>
      </c>
      <c r="B16" s="322">
        <v>223681</v>
      </c>
      <c r="C16" s="323">
        <v>228304</v>
      </c>
      <c r="D16" s="323">
        <v>231504</v>
      </c>
      <c r="E16" s="323">
        <v>236129</v>
      </c>
      <c r="F16" s="323">
        <v>239328</v>
      </c>
      <c r="G16" s="324">
        <v>209126.09</v>
      </c>
    </row>
    <row r="17" spans="1:7">
      <c r="A17" s="321">
        <v>14</v>
      </c>
      <c r="B17" s="322">
        <v>227611</v>
      </c>
      <c r="C17" s="323">
        <v>232351</v>
      </c>
      <c r="D17" s="323">
        <v>235632</v>
      </c>
      <c r="E17" s="323">
        <v>240371</v>
      </c>
      <c r="F17" s="323">
        <v>243652</v>
      </c>
      <c r="G17" s="324">
        <v>212809.24</v>
      </c>
    </row>
    <row r="18" spans="1:7">
      <c r="A18" s="321">
        <v>15</v>
      </c>
      <c r="B18" s="322">
        <v>231649</v>
      </c>
      <c r="C18" s="323">
        <v>236507</v>
      </c>
      <c r="D18" s="323">
        <v>239870</v>
      </c>
      <c r="E18" s="323">
        <v>244730</v>
      </c>
      <c r="F18" s="323">
        <v>248094</v>
      </c>
      <c r="G18" s="324">
        <v>216591.65</v>
      </c>
    </row>
    <row r="19" spans="1:7">
      <c r="A19" s="321">
        <v>16</v>
      </c>
      <c r="B19" s="322">
        <v>234743</v>
      </c>
      <c r="C19" s="323">
        <v>239725</v>
      </c>
      <c r="D19" s="323">
        <v>243175</v>
      </c>
      <c r="E19" s="323">
        <v>248156</v>
      </c>
      <c r="F19" s="323">
        <v>251606</v>
      </c>
      <c r="G19" s="324">
        <v>220480.52</v>
      </c>
    </row>
    <row r="20" spans="1:7">
      <c r="A20" s="321">
        <v>17</v>
      </c>
      <c r="B20" s="322">
        <v>239005</v>
      </c>
      <c r="C20" s="323">
        <v>244114</v>
      </c>
      <c r="D20" s="323">
        <v>247651</v>
      </c>
      <c r="E20" s="323">
        <v>252759</v>
      </c>
      <c r="F20" s="323">
        <v>256294</v>
      </c>
      <c r="G20" s="324">
        <v>224474.06</v>
      </c>
    </row>
    <row r="21" spans="1:7">
      <c r="A21" s="321">
        <v>18</v>
      </c>
      <c r="B21" s="322">
        <v>243387</v>
      </c>
      <c r="C21" s="323">
        <v>248626</v>
      </c>
      <c r="D21" s="323">
        <v>252252</v>
      </c>
      <c r="E21" s="323">
        <v>257490</v>
      </c>
      <c r="F21" s="323">
        <v>261115</v>
      </c>
      <c r="G21" s="324">
        <v>228579.5</v>
      </c>
    </row>
    <row r="22" spans="1:7">
      <c r="A22" s="321">
        <v>19</v>
      </c>
      <c r="B22" s="322">
        <v>246657</v>
      </c>
      <c r="C22" s="323">
        <v>252029</v>
      </c>
      <c r="D22" s="323">
        <v>255746</v>
      </c>
      <c r="E22" s="323">
        <v>261119</v>
      </c>
      <c r="F22" s="323">
        <v>264839</v>
      </c>
      <c r="G22" s="324">
        <v>232796.81</v>
      </c>
    </row>
    <row r="23" spans="1:7">
      <c r="A23" s="321">
        <v>20</v>
      </c>
      <c r="B23" s="322">
        <v>250053</v>
      </c>
      <c r="C23" s="323">
        <v>255560</v>
      </c>
      <c r="D23" s="323">
        <v>259374</v>
      </c>
      <c r="E23" s="323">
        <v>264882</v>
      </c>
      <c r="F23" s="323">
        <v>268694</v>
      </c>
      <c r="G23" s="324">
        <v>237129.61</v>
      </c>
    </row>
    <row r="24" spans="1:7">
      <c r="A24" s="321">
        <v>21</v>
      </c>
      <c r="B24" s="322">
        <v>254192</v>
      </c>
      <c r="C24" s="323">
        <v>259841</v>
      </c>
      <c r="D24" s="323">
        <v>263752</v>
      </c>
      <c r="E24" s="323">
        <v>269401</v>
      </c>
      <c r="F24" s="323">
        <v>273312</v>
      </c>
      <c r="G24" s="324">
        <v>241583.32</v>
      </c>
    </row>
    <row r="25" spans="1:7">
      <c r="A25" s="321">
        <v>22</v>
      </c>
      <c r="B25" s="322">
        <v>258027</v>
      </c>
      <c r="C25" s="323">
        <v>263676</v>
      </c>
      <c r="D25" s="323">
        <v>267587</v>
      </c>
      <c r="E25" s="323">
        <v>273236</v>
      </c>
      <c r="F25" s="323">
        <v>277147</v>
      </c>
      <c r="G25" s="324">
        <v>246033.33</v>
      </c>
    </row>
    <row r="26" spans="1:7">
      <c r="A26" s="321">
        <v>23</v>
      </c>
      <c r="B26" s="322">
        <v>262137</v>
      </c>
      <c r="C26" s="323">
        <v>267629</v>
      </c>
      <c r="D26" s="323">
        <v>271434</v>
      </c>
      <c r="E26" s="323">
        <v>276928</v>
      </c>
      <c r="F26" s="323">
        <v>280730</v>
      </c>
      <c r="G26" s="324">
        <v>250472.55</v>
      </c>
    </row>
    <row r="27" spans="1:7">
      <c r="A27" s="321">
        <v>24</v>
      </c>
      <c r="B27" s="322">
        <v>266372</v>
      </c>
      <c r="C27" s="323">
        <v>271710</v>
      </c>
      <c r="D27" s="323">
        <v>275406</v>
      </c>
      <c r="E27" s="323">
        <v>280745</v>
      </c>
      <c r="F27" s="323">
        <v>284441</v>
      </c>
      <c r="G27" s="324">
        <v>255037.97</v>
      </c>
    </row>
    <row r="28" spans="1:7">
      <c r="A28" s="321">
        <v>25</v>
      </c>
      <c r="B28" s="322">
        <v>270701</v>
      </c>
      <c r="C28" s="323">
        <v>275873</v>
      </c>
      <c r="D28" s="323">
        <v>279454</v>
      </c>
      <c r="E28" s="323">
        <v>284626</v>
      </c>
      <c r="F28" s="323">
        <v>288206</v>
      </c>
      <c r="G28" s="324">
        <v>259721.7</v>
      </c>
    </row>
    <row r="29" spans="1:7">
      <c r="A29" s="321">
        <v>26</v>
      </c>
      <c r="B29" s="322">
        <v>275131</v>
      </c>
      <c r="C29" s="323">
        <v>280123</v>
      </c>
      <c r="D29" s="323">
        <v>283580</v>
      </c>
      <c r="E29" s="323">
        <v>288573</v>
      </c>
      <c r="F29" s="323">
        <v>292029</v>
      </c>
      <c r="G29" s="324">
        <v>264528.59000000003</v>
      </c>
    </row>
    <row r="30" spans="1:7">
      <c r="A30" s="321">
        <v>27</v>
      </c>
      <c r="B30" s="322">
        <v>279656</v>
      </c>
      <c r="C30" s="323">
        <v>284456</v>
      </c>
      <c r="D30" s="323">
        <v>287782</v>
      </c>
      <c r="E30" s="323">
        <v>292583</v>
      </c>
      <c r="F30" s="323">
        <v>295908</v>
      </c>
      <c r="G30" s="324">
        <v>269459.90000000002</v>
      </c>
    </row>
    <row r="31" spans="1:7">
      <c r="A31" s="321">
        <v>28</v>
      </c>
      <c r="B31" s="322">
        <v>284283</v>
      </c>
      <c r="C31" s="323">
        <v>288881</v>
      </c>
      <c r="D31" s="323">
        <v>292064</v>
      </c>
      <c r="E31" s="323">
        <v>296661</v>
      </c>
      <c r="F31" s="323">
        <v>299845</v>
      </c>
      <c r="G31" s="324">
        <v>274522.23</v>
      </c>
    </row>
    <row r="32" spans="1:7">
      <c r="A32" s="321">
        <v>29</v>
      </c>
      <c r="B32" s="322">
        <v>289014</v>
      </c>
      <c r="C32" s="323">
        <v>293394</v>
      </c>
      <c r="D32" s="323">
        <v>296427</v>
      </c>
      <c r="E32" s="323">
        <v>300807</v>
      </c>
      <c r="F32" s="323">
        <v>303839</v>
      </c>
      <c r="G32" s="324">
        <v>279714.99</v>
      </c>
    </row>
    <row r="33" spans="1:7">
      <c r="A33" s="321">
        <v>30</v>
      </c>
      <c r="B33" s="322">
        <v>293853</v>
      </c>
      <c r="C33" s="323">
        <v>298001</v>
      </c>
      <c r="D33" s="323">
        <v>300872</v>
      </c>
      <c r="E33" s="323">
        <v>305018</v>
      </c>
      <c r="F33" s="323">
        <v>307890</v>
      </c>
      <c r="G33" s="324">
        <v>285044.74</v>
      </c>
    </row>
    <row r="34" spans="1:7">
      <c r="A34" s="321">
        <v>31</v>
      </c>
      <c r="B34" s="322">
        <v>298795</v>
      </c>
      <c r="C34" s="323">
        <v>302696</v>
      </c>
      <c r="D34" s="323">
        <v>305398</v>
      </c>
      <c r="E34" s="323">
        <v>309299</v>
      </c>
      <c r="F34" s="323">
        <v>312000</v>
      </c>
      <c r="G34" s="324">
        <v>290512.64000000001</v>
      </c>
    </row>
    <row r="35" spans="1:7">
      <c r="A35" s="321">
        <v>32</v>
      </c>
      <c r="B35" s="322">
        <v>303852</v>
      </c>
      <c r="C35" s="323">
        <v>307490</v>
      </c>
      <c r="D35" s="323">
        <v>310009</v>
      </c>
      <c r="E35" s="323">
        <v>313649</v>
      </c>
      <c r="F35" s="323">
        <v>316167</v>
      </c>
      <c r="G35" s="324">
        <v>296125.21000000002</v>
      </c>
    </row>
    <row r="36" spans="1:7">
      <c r="A36" s="321">
        <v>33</v>
      </c>
      <c r="B36" s="322">
        <v>309016</v>
      </c>
      <c r="C36" s="323">
        <v>312375</v>
      </c>
      <c r="D36" s="323">
        <v>314703</v>
      </c>
      <c r="E36" s="323">
        <v>318063</v>
      </c>
      <c r="F36" s="323">
        <v>320390</v>
      </c>
      <c r="G36" s="324">
        <v>301881.8</v>
      </c>
    </row>
    <row r="37" spans="1:7">
      <c r="A37" s="321">
        <v>34</v>
      </c>
      <c r="B37" s="322">
        <v>314298</v>
      </c>
      <c r="C37" s="323">
        <v>317363</v>
      </c>
      <c r="D37" s="323">
        <v>319485</v>
      </c>
      <c r="E37" s="323">
        <v>322548</v>
      </c>
      <c r="F37" s="323">
        <v>324670</v>
      </c>
      <c r="G37" s="324">
        <v>307790.62</v>
      </c>
    </row>
    <row r="38" spans="1:7">
      <c r="A38" s="321">
        <v>35</v>
      </c>
      <c r="B38" s="322">
        <v>319697</v>
      </c>
      <c r="C38" s="323">
        <v>322450</v>
      </c>
      <c r="D38" s="323">
        <v>324354</v>
      </c>
      <c r="E38" s="323">
        <v>327107</v>
      </c>
      <c r="F38" s="323">
        <v>329011</v>
      </c>
      <c r="G38" s="324">
        <v>313854.56</v>
      </c>
    </row>
    <row r="39" spans="1:7">
      <c r="A39" s="321">
        <v>36</v>
      </c>
      <c r="B39" s="322">
        <v>325214</v>
      </c>
      <c r="C39" s="323">
        <v>327634</v>
      </c>
      <c r="D39" s="323">
        <v>329310</v>
      </c>
      <c r="E39" s="323">
        <v>331731</v>
      </c>
      <c r="F39" s="323">
        <v>333406</v>
      </c>
      <c r="G39" s="324">
        <v>320074.68</v>
      </c>
    </row>
    <row r="40" spans="1:7">
      <c r="A40" s="321">
        <v>37</v>
      </c>
      <c r="B40" s="322">
        <v>330853</v>
      </c>
      <c r="C40" s="323">
        <v>332923</v>
      </c>
      <c r="D40" s="323">
        <v>334355</v>
      </c>
      <c r="E40" s="323">
        <v>336425</v>
      </c>
      <c r="F40" s="323">
        <v>337859</v>
      </c>
      <c r="G40" s="324">
        <v>326457.34000000003</v>
      </c>
    </row>
    <row r="41" spans="1:7">
      <c r="A41" s="321">
        <v>38</v>
      </c>
      <c r="B41" s="322">
        <v>336808</v>
      </c>
      <c r="C41" s="323">
        <v>338540</v>
      </c>
      <c r="D41" s="323">
        <v>339739</v>
      </c>
      <c r="E41" s="323">
        <v>341471</v>
      </c>
      <c r="F41" s="323">
        <v>342672</v>
      </c>
      <c r="G41" s="324">
        <v>333128.88</v>
      </c>
    </row>
    <row r="42" spans="1:7">
      <c r="A42" s="321">
        <v>39</v>
      </c>
      <c r="B42" s="322">
        <v>342821</v>
      </c>
      <c r="C42" s="323">
        <v>344156</v>
      </c>
      <c r="D42" s="323">
        <v>345080</v>
      </c>
      <c r="E42" s="323">
        <v>346413</v>
      </c>
      <c r="F42" s="323">
        <v>347337</v>
      </c>
      <c r="G42" s="324">
        <v>339989.41</v>
      </c>
    </row>
    <row r="43" spans="1:7">
      <c r="A43" s="321">
        <v>40</v>
      </c>
      <c r="B43" s="322">
        <v>348966</v>
      </c>
      <c r="C43" s="323">
        <v>349878</v>
      </c>
      <c r="D43" s="323">
        <v>350510</v>
      </c>
      <c r="E43" s="323">
        <v>351422</v>
      </c>
      <c r="F43" s="323">
        <v>352054</v>
      </c>
      <c r="G43" s="324">
        <v>347027.46</v>
      </c>
    </row>
    <row r="44" spans="1:7">
      <c r="A44" s="321">
        <v>41</v>
      </c>
      <c r="B44" s="322">
        <v>355245</v>
      </c>
      <c r="C44" s="323">
        <v>355712</v>
      </c>
      <c r="D44" s="323">
        <v>356037</v>
      </c>
      <c r="E44" s="323">
        <v>356505</v>
      </c>
      <c r="F44" s="323">
        <v>356828</v>
      </c>
      <c r="G44" s="324">
        <v>354249.23</v>
      </c>
    </row>
    <row r="45" spans="1:7">
      <c r="A45" s="321">
        <v>42</v>
      </c>
      <c r="B45" s="322">
        <v>361660</v>
      </c>
      <c r="C45" s="323">
        <v>361660</v>
      </c>
      <c r="D45" s="323">
        <v>361660</v>
      </c>
      <c r="E45" s="323">
        <v>361660</v>
      </c>
      <c r="F45" s="323">
        <v>361660</v>
      </c>
      <c r="G45" s="324">
        <v>361659.2</v>
      </c>
    </row>
    <row r="46" spans="1:7">
      <c r="A46" s="321">
        <v>43</v>
      </c>
      <c r="B46" s="322">
        <v>369689</v>
      </c>
      <c r="C46" s="323">
        <v>369689</v>
      </c>
      <c r="D46" s="323">
        <v>369689</v>
      </c>
      <c r="E46" s="323">
        <v>369689</v>
      </c>
      <c r="F46" s="323">
        <v>369689</v>
      </c>
      <c r="G46" s="324">
        <v>369688.53</v>
      </c>
    </row>
    <row r="47" spans="1:7">
      <c r="A47" s="321">
        <v>44</v>
      </c>
      <c r="B47" s="322">
        <v>377937</v>
      </c>
      <c r="C47" s="323">
        <v>377937</v>
      </c>
      <c r="D47" s="323">
        <v>377937</v>
      </c>
      <c r="E47" s="323">
        <v>377937</v>
      </c>
      <c r="F47" s="323">
        <v>377937</v>
      </c>
      <c r="G47" s="324">
        <v>377937.3</v>
      </c>
    </row>
    <row r="48" spans="1:7">
      <c r="A48" s="321">
        <v>45</v>
      </c>
      <c r="B48" s="322">
        <v>386414</v>
      </c>
      <c r="C48" s="323">
        <v>386414</v>
      </c>
      <c r="D48" s="323">
        <v>386414</v>
      </c>
      <c r="E48" s="323">
        <v>386414</v>
      </c>
      <c r="F48" s="323">
        <v>386414</v>
      </c>
      <c r="G48" s="324">
        <v>386414.29</v>
      </c>
    </row>
    <row r="49" spans="1:7">
      <c r="A49" s="321">
        <v>46</v>
      </c>
      <c r="B49" s="322">
        <v>395125</v>
      </c>
      <c r="C49" s="323">
        <v>395125</v>
      </c>
      <c r="D49" s="323">
        <v>395125</v>
      </c>
      <c r="E49" s="323">
        <v>395125</v>
      </c>
      <c r="F49" s="323">
        <v>395125</v>
      </c>
      <c r="G49" s="324">
        <v>395124.74</v>
      </c>
    </row>
    <row r="50" spans="1:7">
      <c r="A50" s="321">
        <v>47</v>
      </c>
      <c r="B50" s="322">
        <v>413269</v>
      </c>
      <c r="C50" s="323">
        <v>413269</v>
      </c>
      <c r="D50" s="323">
        <v>413269</v>
      </c>
      <c r="E50" s="323">
        <v>413269</v>
      </c>
      <c r="F50" s="323">
        <v>413269</v>
      </c>
      <c r="G50" s="324">
        <v>413268.87</v>
      </c>
    </row>
    <row r="51" spans="1:7">
      <c r="A51" s="321">
        <v>48</v>
      </c>
      <c r="B51" s="322">
        <v>441027</v>
      </c>
      <c r="C51" s="323">
        <v>441027</v>
      </c>
      <c r="D51" s="323">
        <v>441027</v>
      </c>
      <c r="E51" s="323">
        <v>441027</v>
      </c>
      <c r="F51" s="323">
        <v>441027</v>
      </c>
      <c r="G51" s="324">
        <v>441025.75</v>
      </c>
    </row>
    <row r="52" spans="1:7">
      <c r="A52" s="321">
        <v>49</v>
      </c>
      <c r="B52" s="322">
        <v>471781</v>
      </c>
      <c r="C52" s="323">
        <v>471781</v>
      </c>
      <c r="D52" s="323">
        <v>471781</v>
      </c>
      <c r="E52" s="323">
        <v>471781</v>
      </c>
      <c r="F52" s="323">
        <v>471781</v>
      </c>
      <c r="G52" s="324">
        <v>471780.9</v>
      </c>
    </row>
    <row r="53" spans="1:7">
      <c r="A53" s="321">
        <v>50</v>
      </c>
      <c r="B53" s="322">
        <v>521094</v>
      </c>
      <c r="C53" s="323">
        <v>521094</v>
      </c>
      <c r="D53" s="323">
        <v>521094</v>
      </c>
      <c r="E53" s="323">
        <v>521094</v>
      </c>
      <c r="F53" s="323">
        <v>521094</v>
      </c>
      <c r="G53" s="324">
        <v>521094.47</v>
      </c>
    </row>
    <row r="54" spans="1:7">
      <c r="A54" s="321">
        <v>51</v>
      </c>
      <c r="B54" s="322">
        <v>592911</v>
      </c>
      <c r="C54" s="323">
        <v>592911</v>
      </c>
      <c r="D54" s="323">
        <v>592911</v>
      </c>
      <c r="E54" s="323">
        <v>592911</v>
      </c>
      <c r="F54" s="323">
        <v>592911</v>
      </c>
      <c r="G54" s="324">
        <v>592911.94999999995</v>
      </c>
    </row>
    <row r="55" spans="1:7">
      <c r="A55" s="321">
        <v>52</v>
      </c>
      <c r="B55" s="322">
        <v>650993</v>
      </c>
      <c r="C55" s="323">
        <v>650993</v>
      </c>
      <c r="D55" s="323">
        <v>650993</v>
      </c>
      <c r="E55" s="323">
        <v>650993</v>
      </c>
      <c r="F55" s="323">
        <v>650993</v>
      </c>
      <c r="G55" s="324">
        <v>650993.51</v>
      </c>
    </row>
    <row r="56" spans="1:7">
      <c r="A56" s="321">
        <v>53</v>
      </c>
      <c r="B56" s="322">
        <v>728408</v>
      </c>
      <c r="C56" s="323">
        <v>728408</v>
      </c>
      <c r="D56" s="323">
        <v>728408</v>
      </c>
      <c r="E56" s="323">
        <v>728408</v>
      </c>
      <c r="F56" s="323">
        <v>728408</v>
      </c>
      <c r="G56" s="324">
        <v>728409.39</v>
      </c>
    </row>
    <row r="57" spans="1:7">
      <c r="A57" s="321">
        <v>54</v>
      </c>
      <c r="B57" s="322">
        <v>821385</v>
      </c>
      <c r="C57" s="323">
        <v>821385</v>
      </c>
      <c r="D57" s="323">
        <v>821385</v>
      </c>
      <c r="E57" s="323">
        <v>821385</v>
      </c>
      <c r="F57" s="323">
        <v>821385</v>
      </c>
      <c r="G57" s="324">
        <v>821385.31</v>
      </c>
    </row>
    <row r="58" spans="1:7">
      <c r="A58" s="321">
        <v>55</v>
      </c>
      <c r="B58" s="322">
        <v>925652</v>
      </c>
      <c r="C58" s="323">
        <v>925652</v>
      </c>
      <c r="D58" s="323">
        <v>925652</v>
      </c>
      <c r="E58" s="323">
        <v>925652</v>
      </c>
      <c r="F58" s="323">
        <v>925652</v>
      </c>
      <c r="G58" s="324">
        <v>925652.26</v>
      </c>
    </row>
    <row r="59" spans="1:7" ht="15">
      <c r="A59" s="40" t="s">
        <v>131</v>
      </c>
      <c r="B59" s="325">
        <v>279695</v>
      </c>
      <c r="C59" s="326">
        <v>279695</v>
      </c>
      <c r="D59" s="326">
        <v>279695</v>
      </c>
      <c r="E59" s="326">
        <v>279695</v>
      </c>
      <c r="F59" s="326">
        <v>279695</v>
      </c>
      <c r="G59" s="61">
        <v>279695</v>
      </c>
    </row>
    <row r="60" spans="1:7" ht="15">
      <c r="A60" s="40" t="s">
        <v>130</v>
      </c>
      <c r="B60" s="41">
        <v>298044</v>
      </c>
      <c r="C60" s="42">
        <v>298044</v>
      </c>
      <c r="D60" s="42">
        <v>298044</v>
      </c>
      <c r="E60" s="42">
        <v>298044</v>
      </c>
      <c r="F60" s="42">
        <v>298044</v>
      </c>
      <c r="G60" s="62">
        <v>298044</v>
      </c>
    </row>
    <row r="61" spans="1:7" ht="15">
      <c r="A61" s="40" t="s">
        <v>128</v>
      </c>
      <c r="B61" s="41">
        <v>325699</v>
      </c>
      <c r="C61" s="42">
        <v>325699</v>
      </c>
      <c r="D61" s="42">
        <v>325699</v>
      </c>
      <c r="E61" s="42">
        <v>325699</v>
      </c>
      <c r="F61" s="42">
        <v>325699</v>
      </c>
      <c r="G61" s="62">
        <v>325699</v>
      </c>
    </row>
    <row r="62" spans="1:7" ht="15">
      <c r="A62" s="40" t="s">
        <v>417</v>
      </c>
      <c r="B62" s="41">
        <v>351388</v>
      </c>
      <c r="C62" s="42">
        <v>351388</v>
      </c>
      <c r="D62" s="42">
        <v>351388</v>
      </c>
      <c r="E62" s="42">
        <v>351388</v>
      </c>
      <c r="F62" s="42">
        <v>351388</v>
      </c>
      <c r="G62" s="62">
        <v>351388</v>
      </c>
    </row>
    <row r="63" spans="1:7" ht="15">
      <c r="A63" s="40" t="s">
        <v>175</v>
      </c>
      <c r="B63" s="41">
        <v>266588</v>
      </c>
      <c r="C63" s="42">
        <v>266588</v>
      </c>
      <c r="D63" s="42">
        <v>266588</v>
      </c>
      <c r="E63" s="42">
        <v>266588</v>
      </c>
      <c r="F63" s="42">
        <v>266588</v>
      </c>
      <c r="G63" s="62">
        <v>266588</v>
      </c>
    </row>
    <row r="64" spans="1:7" ht="15">
      <c r="A64" s="40" t="s">
        <v>132</v>
      </c>
      <c r="B64" s="41">
        <v>279695</v>
      </c>
      <c r="C64" s="42">
        <v>279695</v>
      </c>
      <c r="D64" s="42">
        <v>279695</v>
      </c>
      <c r="E64" s="42">
        <v>279695</v>
      </c>
      <c r="F64" s="42">
        <v>279695</v>
      </c>
      <c r="G64" s="62">
        <v>279695</v>
      </c>
    </row>
    <row r="65" spans="1:7" ht="15">
      <c r="A65" s="40" t="s">
        <v>129</v>
      </c>
      <c r="B65" s="41">
        <v>290311</v>
      </c>
      <c r="C65" s="42">
        <v>290311</v>
      </c>
      <c r="D65" s="42">
        <v>290311</v>
      </c>
      <c r="E65" s="42">
        <v>290311</v>
      </c>
      <c r="F65" s="42">
        <v>290311</v>
      </c>
      <c r="G65" s="62">
        <v>290311</v>
      </c>
    </row>
    <row r="66" spans="1:7" ht="15">
      <c r="A66" s="44" t="s">
        <v>418</v>
      </c>
      <c r="B66" s="45">
        <v>309054</v>
      </c>
      <c r="C66" s="46">
        <v>309054</v>
      </c>
      <c r="D66" s="46">
        <v>309054</v>
      </c>
      <c r="E66" s="46">
        <v>309054</v>
      </c>
      <c r="F66" s="46">
        <v>309054</v>
      </c>
      <c r="G66" s="63">
        <v>309054</v>
      </c>
    </row>
    <row r="68" spans="1:7" ht="15">
      <c r="A68" s="327" t="s">
        <v>59</v>
      </c>
      <c r="C68" s="310" t="s">
        <v>127</v>
      </c>
    </row>
    <row r="69" spans="1:7">
      <c r="A69" s="311"/>
      <c r="B69" s="312"/>
      <c r="C69" s="313"/>
      <c r="D69" s="314" t="s">
        <v>57</v>
      </c>
      <c r="E69" s="313"/>
      <c r="F69" s="328"/>
      <c r="G69" s="329"/>
    </row>
    <row r="70" spans="1:7">
      <c r="A70" s="317" t="s">
        <v>308</v>
      </c>
      <c r="B70" s="318" t="s">
        <v>87</v>
      </c>
      <c r="C70" s="319" t="s">
        <v>88</v>
      </c>
      <c r="D70" s="319" t="s">
        <v>89</v>
      </c>
      <c r="E70" s="319" t="s">
        <v>90</v>
      </c>
      <c r="F70" s="330" t="s">
        <v>173</v>
      </c>
      <c r="G70" s="331"/>
    </row>
    <row r="71" spans="1:7">
      <c r="A71" s="321" t="s">
        <v>131</v>
      </c>
      <c r="B71" s="322">
        <v>0</v>
      </c>
      <c r="C71" s="332">
        <v>3900</v>
      </c>
      <c r="D71" s="332">
        <v>6900</v>
      </c>
      <c r="E71" s="332">
        <v>10800</v>
      </c>
      <c r="F71" s="333">
        <v>13800</v>
      </c>
    </row>
    <row r="72" spans="1:7">
      <c r="A72" s="321" t="s">
        <v>130</v>
      </c>
      <c r="B72" s="322">
        <v>0</v>
      </c>
      <c r="C72" s="323">
        <v>3300</v>
      </c>
      <c r="D72" s="323">
        <v>5700</v>
      </c>
      <c r="E72" s="323">
        <v>9000</v>
      </c>
      <c r="F72" s="334">
        <v>11400</v>
      </c>
    </row>
    <row r="73" spans="1:7">
      <c r="A73" s="321" t="s">
        <v>128</v>
      </c>
      <c r="B73" s="322">
        <v>0</v>
      </c>
      <c r="C73" s="323">
        <v>2100</v>
      </c>
      <c r="D73" s="323">
        <v>3900</v>
      </c>
      <c r="E73" s="323">
        <v>6000</v>
      </c>
      <c r="F73" s="334">
        <v>7500</v>
      </c>
    </row>
    <row r="74" spans="1:7">
      <c r="A74" s="321" t="s">
        <v>417</v>
      </c>
      <c r="B74" s="322">
        <v>0</v>
      </c>
      <c r="C74" s="323">
        <v>2100</v>
      </c>
      <c r="D74" s="323">
        <v>3900</v>
      </c>
      <c r="E74" s="323">
        <v>6000</v>
      </c>
      <c r="F74" s="334">
        <v>7500</v>
      </c>
    </row>
    <row r="75" spans="1:7">
      <c r="A75" s="321" t="s">
        <v>175</v>
      </c>
      <c r="B75" s="322">
        <v>0</v>
      </c>
      <c r="C75" s="323">
        <v>4500</v>
      </c>
      <c r="D75" s="323">
        <v>7500</v>
      </c>
      <c r="E75" s="323">
        <v>12000</v>
      </c>
      <c r="F75" s="334">
        <v>15000</v>
      </c>
    </row>
    <row r="76" spans="1:7">
      <c r="A76" s="321" t="s">
        <v>132</v>
      </c>
      <c r="B76" s="322">
        <v>0</v>
      </c>
      <c r="C76" s="323">
        <v>3900</v>
      </c>
      <c r="D76" s="323">
        <v>6900</v>
      </c>
      <c r="E76" s="323">
        <v>10800</v>
      </c>
      <c r="F76" s="334">
        <v>13800</v>
      </c>
    </row>
    <row r="77" spans="1:7">
      <c r="A77" s="321" t="s">
        <v>129</v>
      </c>
      <c r="B77" s="322">
        <v>0</v>
      </c>
      <c r="C77" s="323">
        <v>3600</v>
      </c>
      <c r="D77" s="323">
        <v>6300</v>
      </c>
      <c r="E77" s="323">
        <v>9900</v>
      </c>
      <c r="F77" s="334">
        <v>12600</v>
      </c>
    </row>
    <row r="78" spans="1:7">
      <c r="A78" s="335" t="s">
        <v>418</v>
      </c>
      <c r="B78" s="336">
        <v>0</v>
      </c>
      <c r="C78" s="337">
        <v>3600</v>
      </c>
      <c r="D78" s="337">
        <v>6300</v>
      </c>
      <c r="E78" s="337">
        <v>9900</v>
      </c>
      <c r="F78" s="338">
        <v>12600</v>
      </c>
    </row>
    <row r="81" spans="1:6">
      <c r="B81" s="310">
        <f>B72/B60</f>
        <v>0</v>
      </c>
      <c r="C81" s="310">
        <f>C72/C60</f>
        <v>1.1072190683254822E-2</v>
      </c>
      <c r="D81" s="310">
        <f>D72/D60</f>
        <v>1.9124692998349235E-2</v>
      </c>
      <c r="E81" s="310">
        <f>E72/E60</f>
        <v>3.0196883681604059E-2</v>
      </c>
      <c r="F81" s="310">
        <f>F72/F60</f>
        <v>3.8249385996698471E-2</v>
      </c>
    </row>
    <row r="82" spans="1:6">
      <c r="B82" s="310">
        <v>0</v>
      </c>
      <c r="C82" s="310">
        <v>1.5</v>
      </c>
      <c r="D82" s="310">
        <v>2.5</v>
      </c>
      <c r="E82" s="310">
        <v>4</v>
      </c>
      <c r="F82" s="310">
        <v>5</v>
      </c>
    </row>
    <row r="84" spans="1:6" ht="15">
      <c r="A84" s="29" t="s">
        <v>485</v>
      </c>
    </row>
    <row r="86" spans="1:6" ht="25" customHeight="1">
      <c r="A86" s="327" t="s">
        <v>309</v>
      </c>
    </row>
    <row r="87" spans="1:6" ht="10" customHeight="1">
      <c r="A87" s="327"/>
    </row>
    <row r="88" spans="1:6" ht="18" customHeight="1">
      <c r="A88" s="339" t="s">
        <v>310</v>
      </c>
      <c r="B88" s="645" t="s">
        <v>57</v>
      </c>
      <c r="C88" s="646"/>
      <c r="D88" s="646"/>
      <c r="E88" s="646"/>
    </row>
    <row r="89" spans="1:6" ht="18" customHeight="1">
      <c r="A89" s="340" t="s">
        <v>308</v>
      </c>
      <c r="B89" s="319" t="s">
        <v>311</v>
      </c>
      <c r="C89" s="319" t="s">
        <v>312</v>
      </c>
      <c r="D89" s="319" t="s">
        <v>313</v>
      </c>
      <c r="E89" s="330" t="s">
        <v>314</v>
      </c>
    </row>
    <row r="90" spans="1:6" ht="18" customHeight="1">
      <c r="A90" s="341" t="s">
        <v>131</v>
      </c>
      <c r="B90" s="342">
        <f t="shared" ref="B90:E91" si="0">(C71-B71)/3</f>
        <v>1300</v>
      </c>
      <c r="C90" s="342">
        <f t="shared" si="0"/>
        <v>1000</v>
      </c>
      <c r="D90" s="342">
        <f t="shared" si="0"/>
        <v>1300</v>
      </c>
      <c r="E90" s="343">
        <f t="shared" si="0"/>
        <v>1000</v>
      </c>
    </row>
    <row r="91" spans="1:6" ht="18" customHeight="1">
      <c r="A91" s="341" t="s">
        <v>130</v>
      </c>
      <c r="B91" s="342">
        <f t="shared" si="0"/>
        <v>1100</v>
      </c>
      <c r="C91" s="342">
        <f t="shared" si="0"/>
        <v>800</v>
      </c>
      <c r="D91" s="342">
        <f t="shared" si="0"/>
        <v>1100</v>
      </c>
      <c r="E91" s="343">
        <f t="shared" si="0"/>
        <v>800</v>
      </c>
    </row>
    <row r="92" spans="1:6" ht="18" customHeight="1">
      <c r="A92" s="344" t="s">
        <v>128</v>
      </c>
      <c r="B92" s="345">
        <f t="shared" ref="B92:E95" si="1">(C75-B75)/3</f>
        <v>1500</v>
      </c>
      <c r="C92" s="345">
        <f t="shared" si="1"/>
        <v>1000</v>
      </c>
      <c r="D92" s="345">
        <f t="shared" si="1"/>
        <v>1500</v>
      </c>
      <c r="E92" s="346">
        <f t="shared" si="1"/>
        <v>1000</v>
      </c>
    </row>
    <row r="93" spans="1:6" ht="18" customHeight="1">
      <c r="A93" s="341" t="s">
        <v>175</v>
      </c>
      <c r="B93" s="342">
        <f t="shared" si="1"/>
        <v>1300</v>
      </c>
      <c r="C93" s="342">
        <f t="shared" si="1"/>
        <v>1000</v>
      </c>
      <c r="D93" s="342">
        <f t="shared" si="1"/>
        <v>1300</v>
      </c>
      <c r="E93" s="343">
        <f t="shared" si="1"/>
        <v>1000</v>
      </c>
    </row>
    <row r="94" spans="1:6" ht="18" customHeight="1">
      <c r="A94" s="341" t="s">
        <v>132</v>
      </c>
      <c r="B94" s="342">
        <f t="shared" si="1"/>
        <v>1200</v>
      </c>
      <c r="C94" s="342">
        <f t="shared" si="1"/>
        <v>900</v>
      </c>
      <c r="D94" s="342">
        <f t="shared" si="1"/>
        <v>1200</v>
      </c>
      <c r="E94" s="343">
        <f t="shared" si="1"/>
        <v>900</v>
      </c>
    </row>
    <row r="95" spans="1:6" ht="18" customHeight="1">
      <c r="A95" s="344" t="s">
        <v>129</v>
      </c>
      <c r="B95" s="345">
        <f t="shared" si="1"/>
        <v>1200</v>
      </c>
      <c r="C95" s="345">
        <f t="shared" si="1"/>
        <v>900</v>
      </c>
      <c r="D95" s="345">
        <f t="shared" si="1"/>
        <v>1200</v>
      </c>
      <c r="E95" s="346">
        <f t="shared" si="1"/>
        <v>900</v>
      </c>
    </row>
    <row r="96" spans="1:6" ht="18" customHeight="1"/>
    <row r="97" spans="1:6" ht="18" customHeight="1">
      <c r="A97" s="339" t="s">
        <v>315</v>
      </c>
      <c r="B97" s="645" t="s">
        <v>57</v>
      </c>
      <c r="C97" s="646"/>
      <c r="D97" s="646"/>
      <c r="E97" s="646"/>
    </row>
    <row r="98" spans="1:6" ht="18" customHeight="1">
      <c r="A98" s="340" t="s">
        <v>308</v>
      </c>
      <c r="B98" s="319" t="s">
        <v>311</v>
      </c>
      <c r="C98" s="319" t="s">
        <v>312</v>
      </c>
      <c r="D98" s="319" t="s">
        <v>313</v>
      </c>
      <c r="E98" s="330" t="s">
        <v>314</v>
      </c>
    </row>
    <row r="99" spans="1:6" ht="18" customHeight="1">
      <c r="A99" s="341" t="s">
        <v>131</v>
      </c>
      <c r="B99" s="342">
        <f t="shared" ref="B99:E104" si="2">B90/12</f>
        <v>108.33333333333333</v>
      </c>
      <c r="C99" s="342">
        <f t="shared" si="2"/>
        <v>83.333333333333329</v>
      </c>
      <c r="D99" s="342">
        <f t="shared" si="2"/>
        <v>108.33333333333333</v>
      </c>
      <c r="E99" s="343">
        <f t="shared" si="2"/>
        <v>83.333333333333329</v>
      </c>
    </row>
    <row r="100" spans="1:6" ht="18" customHeight="1">
      <c r="A100" s="341" t="s">
        <v>130</v>
      </c>
      <c r="B100" s="342">
        <f t="shared" si="2"/>
        <v>91.666666666666671</v>
      </c>
      <c r="C100" s="342">
        <f t="shared" si="2"/>
        <v>66.666666666666671</v>
      </c>
      <c r="D100" s="342">
        <f t="shared" si="2"/>
        <v>91.666666666666671</v>
      </c>
      <c r="E100" s="343">
        <f t="shared" si="2"/>
        <v>66.666666666666671</v>
      </c>
    </row>
    <row r="101" spans="1:6" ht="18" customHeight="1">
      <c r="A101" s="341" t="s">
        <v>128</v>
      </c>
      <c r="B101" s="342">
        <f t="shared" si="2"/>
        <v>125</v>
      </c>
      <c r="C101" s="342">
        <f t="shared" si="2"/>
        <v>83.333333333333329</v>
      </c>
      <c r="D101" s="342">
        <f t="shared" si="2"/>
        <v>125</v>
      </c>
      <c r="E101" s="343">
        <f t="shared" si="2"/>
        <v>83.333333333333329</v>
      </c>
    </row>
    <row r="102" spans="1:6" ht="18" customHeight="1">
      <c r="A102" s="347" t="s">
        <v>175</v>
      </c>
      <c r="B102" s="348">
        <f t="shared" si="2"/>
        <v>108.33333333333333</v>
      </c>
      <c r="C102" s="348">
        <f t="shared" si="2"/>
        <v>83.333333333333329</v>
      </c>
      <c r="D102" s="348">
        <f t="shared" si="2"/>
        <v>108.33333333333333</v>
      </c>
      <c r="E102" s="349">
        <f t="shared" si="2"/>
        <v>83.333333333333329</v>
      </c>
    </row>
    <row r="103" spans="1:6" ht="18" customHeight="1">
      <c r="A103" s="341" t="s">
        <v>132</v>
      </c>
      <c r="B103" s="342">
        <f t="shared" si="2"/>
        <v>100</v>
      </c>
      <c r="C103" s="342">
        <f t="shared" si="2"/>
        <v>75</v>
      </c>
      <c r="D103" s="342">
        <f t="shared" si="2"/>
        <v>100</v>
      </c>
      <c r="E103" s="343">
        <f t="shared" si="2"/>
        <v>75</v>
      </c>
    </row>
    <row r="104" spans="1:6" ht="18" customHeight="1">
      <c r="A104" s="344" t="s">
        <v>129</v>
      </c>
      <c r="B104" s="345">
        <f t="shared" si="2"/>
        <v>100</v>
      </c>
      <c r="C104" s="345">
        <f t="shared" si="2"/>
        <v>75</v>
      </c>
      <c r="D104" s="345">
        <f t="shared" si="2"/>
        <v>100</v>
      </c>
      <c r="E104" s="346">
        <f t="shared" si="2"/>
        <v>75</v>
      </c>
    </row>
    <row r="107" spans="1:6">
      <c r="A107" s="560" t="s">
        <v>486</v>
      </c>
      <c r="B107" s="560" t="s">
        <v>487</v>
      </c>
      <c r="C107" s="560" t="s">
        <v>513</v>
      </c>
      <c r="D107" s="560" t="s">
        <v>514</v>
      </c>
      <c r="E107" s="560" t="s">
        <v>515</v>
      </c>
      <c r="F107" s="560" t="s">
        <v>516</v>
      </c>
    </row>
    <row r="108" spans="1:6">
      <c r="A108" s="310" t="s">
        <v>175</v>
      </c>
      <c r="B108" s="310" t="s">
        <v>288</v>
      </c>
      <c r="C108" s="310">
        <v>0</v>
      </c>
      <c r="D108" s="310" t="s">
        <v>483</v>
      </c>
      <c r="F108" s="310">
        <v>6103</v>
      </c>
    </row>
    <row r="109" spans="1:6">
      <c r="A109" s="310" t="s">
        <v>132</v>
      </c>
      <c r="B109" s="310" t="s">
        <v>488</v>
      </c>
      <c r="C109" s="310">
        <v>19300</v>
      </c>
      <c r="D109" s="310" t="s">
        <v>38</v>
      </c>
      <c r="E109" s="310" t="s">
        <v>441</v>
      </c>
      <c r="F109" s="310">
        <v>7730</v>
      </c>
    </row>
    <row r="110" spans="1:6">
      <c r="A110" s="310" t="s">
        <v>129</v>
      </c>
      <c r="B110" s="310" t="s">
        <v>489</v>
      </c>
      <c r="F110" s="310">
        <v>9154</v>
      </c>
    </row>
    <row r="111" spans="1:6">
      <c r="A111" s="310" t="s">
        <v>418</v>
      </c>
      <c r="B111" s="310" t="s">
        <v>490</v>
      </c>
      <c r="F111" s="310">
        <v>0</v>
      </c>
    </row>
    <row r="112" spans="1:6">
      <c r="A112" s="310" t="s">
        <v>131</v>
      </c>
      <c r="B112" s="310" t="s">
        <v>491</v>
      </c>
    </row>
    <row r="113" spans="1:2">
      <c r="A113" s="310" t="s">
        <v>130</v>
      </c>
      <c r="B113" s="310" t="s">
        <v>492</v>
      </c>
    </row>
    <row r="114" spans="1:2">
      <c r="A114" s="310" t="s">
        <v>128</v>
      </c>
      <c r="B114" s="310" t="s">
        <v>493</v>
      </c>
    </row>
    <row r="115" spans="1:2">
      <c r="A115" s="310" t="s">
        <v>417</v>
      </c>
      <c r="B115" s="310" t="s">
        <v>494</v>
      </c>
    </row>
    <row r="116" spans="1:2">
      <c r="B116" s="310" t="s">
        <v>495</v>
      </c>
    </row>
    <row r="117" spans="1:2">
      <c r="B117" s="310" t="s">
        <v>496</v>
      </c>
    </row>
    <row r="118" spans="1:2">
      <c r="B118" s="310" t="s">
        <v>497</v>
      </c>
    </row>
    <row r="119" spans="1:2">
      <c r="B119" s="310" t="s">
        <v>498</v>
      </c>
    </row>
    <row r="120" spans="1:2">
      <c r="B120" s="310" t="s">
        <v>481</v>
      </c>
    </row>
    <row r="121" spans="1:2">
      <c r="B121" s="310" t="s">
        <v>499</v>
      </c>
    </row>
    <row r="122" spans="1:2">
      <c r="B122" s="310" t="s">
        <v>500</v>
      </c>
    </row>
    <row r="123" spans="1:2">
      <c r="B123" s="310" t="s">
        <v>501</v>
      </c>
    </row>
    <row r="124" spans="1:2">
      <c r="B124" s="310" t="s">
        <v>502</v>
      </c>
    </row>
    <row r="125" spans="1:2">
      <c r="B125" s="310" t="s">
        <v>503</v>
      </c>
    </row>
    <row r="126" spans="1:2">
      <c r="B126" s="310" t="s">
        <v>504</v>
      </c>
    </row>
    <row r="127" spans="1:2">
      <c r="B127" s="310" t="s">
        <v>505</v>
      </c>
    </row>
    <row r="128" spans="1:2">
      <c r="B128" s="310" t="s">
        <v>506</v>
      </c>
    </row>
    <row r="129" spans="2:2">
      <c r="B129" s="310" t="s">
        <v>507</v>
      </c>
    </row>
    <row r="130" spans="2:2">
      <c r="B130" s="310" t="s">
        <v>508</v>
      </c>
    </row>
    <row r="131" spans="2:2">
      <c r="B131" s="310" t="s">
        <v>509</v>
      </c>
    </row>
    <row r="132" spans="2:2">
      <c r="B132" s="310" t="s">
        <v>510</v>
      </c>
    </row>
    <row r="133" spans="2:2">
      <c r="B133" s="310" t="s">
        <v>511</v>
      </c>
    </row>
    <row r="134" spans="2:2">
      <c r="B134" s="310" t="s">
        <v>512</v>
      </c>
    </row>
  </sheetData>
  <mergeCells count="2">
    <mergeCell ref="B88:E88"/>
    <mergeCell ref="B97:E97"/>
  </mergeCells>
  <printOptions horizontalCentered="1" verticalCentered="1" gridLinesSet="0"/>
  <pageMargins left="0.39370078740157483" right="0.39370078740157483" top="0.98425196850393704" bottom="0.98425196850393704" header="0.51181102362204722" footer="0.51181102362204722"/>
  <pageSetup paperSize="9" orientation="portrait" horizontalDpi="4294967292" verticalDpi="4294967292"/>
  <headerFooter>
    <oddHeader>&amp;L&amp;"Geneva,Fed"&amp;24LØNTABEL</oddHeader>
    <oddFooter>&amp;L&amp;"Geneva,Normal"FRISKOLERNES KONTOR, Prices Havevej 11, 5600 Fåborg&amp;R&amp;"Geneva,Normal"Ole Mikkelsen, friskolekonsulent</oddFooter>
  </headerFooter>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59999389629810485"/>
    <pageSetUpPr fitToPage="1"/>
  </sheetPr>
  <dimension ref="A1:V295"/>
  <sheetViews>
    <sheetView topLeftCell="A17" workbookViewId="0">
      <selection activeCell="J42" sqref="J42"/>
    </sheetView>
  </sheetViews>
  <sheetFormatPr baseColWidth="10" defaultColWidth="20.85546875" defaultRowHeight="12" x14ac:dyDescent="0"/>
  <cols>
    <col min="1" max="1" width="3.5703125" style="23" customWidth="1"/>
    <col min="2" max="2" width="32.42578125" style="4" customWidth="1"/>
    <col min="3" max="3" width="10.140625" style="4" customWidth="1"/>
    <col min="4" max="15" width="9.7109375" style="25" customWidth="1"/>
    <col min="16" max="16" width="44.85546875" style="3" customWidth="1"/>
    <col min="17" max="17" width="9.7109375" style="127" customWidth="1"/>
    <col min="18" max="18" width="10.140625" style="127" customWidth="1"/>
    <col min="19" max="22" width="8.7109375" style="127" customWidth="1"/>
    <col min="23" max="16384" width="20.85546875" style="86"/>
  </cols>
  <sheetData>
    <row r="1" spans="1:22" ht="27" customHeight="1">
      <c r="A1" s="1">
        <v>1</v>
      </c>
      <c r="B1" s="64" t="s">
        <v>163</v>
      </c>
      <c r="C1" s="23" t="s">
        <v>378</v>
      </c>
      <c r="D1" s="81" t="s">
        <v>215</v>
      </c>
      <c r="E1" s="79" t="str">
        <f>D1</f>
        <v>NN</v>
      </c>
      <c r="F1" s="79" t="str">
        <f t="shared" ref="F1:O1" si="0">E1</f>
        <v>NN</v>
      </c>
      <c r="G1" s="79" t="str">
        <f t="shared" si="0"/>
        <v>NN</v>
      </c>
      <c r="H1" s="79" t="str">
        <f t="shared" si="0"/>
        <v>NN</v>
      </c>
      <c r="I1" s="79" t="str">
        <f t="shared" si="0"/>
        <v>NN</v>
      </c>
      <c r="J1" s="79" t="str">
        <f t="shared" si="0"/>
        <v>NN</v>
      </c>
      <c r="K1" s="79" t="str">
        <f t="shared" si="0"/>
        <v>NN</v>
      </c>
      <c r="L1" s="79" t="str">
        <f t="shared" si="0"/>
        <v>NN</v>
      </c>
      <c r="M1" s="79" t="str">
        <f t="shared" si="0"/>
        <v>NN</v>
      </c>
      <c r="N1" s="79" t="str">
        <f t="shared" si="0"/>
        <v>NN</v>
      </c>
      <c r="O1" s="79" t="str">
        <f t="shared" si="0"/>
        <v>NN</v>
      </c>
      <c r="P1" s="3" t="s">
        <v>198</v>
      </c>
      <c r="Q1" s="92"/>
      <c r="R1" s="92"/>
      <c r="S1" s="92"/>
      <c r="T1" s="92"/>
      <c r="U1" s="92"/>
      <c r="V1" s="92"/>
    </row>
    <row r="2" spans="1:22" ht="14" customHeight="1">
      <c r="A2" s="5">
        <f t="shared" ref="A2:A44" si="1">A1+1</f>
        <v>2</v>
      </c>
      <c r="B2" s="94" t="s">
        <v>44</v>
      </c>
      <c r="C2" s="242" t="s">
        <v>358</v>
      </c>
      <c r="D2" s="78" t="s">
        <v>241</v>
      </c>
      <c r="E2" s="78" t="s">
        <v>242</v>
      </c>
      <c r="F2" s="78" t="s">
        <v>243</v>
      </c>
      <c r="G2" s="78" t="s">
        <v>244</v>
      </c>
      <c r="H2" s="78" t="s">
        <v>245</v>
      </c>
      <c r="I2" s="78" t="s">
        <v>246</v>
      </c>
      <c r="J2" s="78" t="s">
        <v>247</v>
      </c>
      <c r="K2" s="78" t="s">
        <v>248</v>
      </c>
      <c r="L2" s="78" t="s">
        <v>249</v>
      </c>
      <c r="M2" s="78" t="s">
        <v>250</v>
      </c>
      <c r="N2" s="78" t="s">
        <v>251</v>
      </c>
      <c r="O2" s="78" t="s">
        <v>252</v>
      </c>
      <c r="P2" s="263" t="s">
        <v>275</v>
      </c>
      <c r="Q2" s="92"/>
      <c r="R2" s="92"/>
      <c r="S2" s="92"/>
      <c r="T2" s="92"/>
      <c r="U2" s="92"/>
      <c r="V2" s="92"/>
    </row>
    <row r="3" spans="1:22" ht="27" customHeight="1">
      <c r="A3" s="5">
        <f t="shared" si="1"/>
        <v>3</v>
      </c>
      <c r="B3" s="168" t="s">
        <v>166</v>
      </c>
      <c r="C3" s="647" t="s">
        <v>75</v>
      </c>
      <c r="D3" s="425">
        <v>1</v>
      </c>
      <c r="E3" s="246">
        <v>1</v>
      </c>
      <c r="F3" s="246">
        <v>1</v>
      </c>
      <c r="G3" s="246">
        <v>1</v>
      </c>
      <c r="H3" s="246">
        <v>1</v>
      </c>
      <c r="I3" s="246">
        <v>1</v>
      </c>
      <c r="J3" s="358">
        <v>0.5357142857142857</v>
      </c>
      <c r="K3" s="246">
        <v>1</v>
      </c>
      <c r="L3" s="247">
        <v>1</v>
      </c>
      <c r="M3" s="247">
        <v>1</v>
      </c>
      <c r="N3" s="247">
        <v>1</v>
      </c>
      <c r="O3" s="247">
        <v>1</v>
      </c>
      <c r="P3" s="7" t="s">
        <v>118</v>
      </c>
      <c r="Q3" s="92"/>
      <c r="R3" s="92"/>
      <c r="S3" s="92"/>
      <c r="T3" s="92"/>
      <c r="U3" s="92"/>
      <c r="V3" s="92"/>
    </row>
    <row r="4" spans="1:22" ht="14" customHeight="1">
      <c r="A4" s="5">
        <f t="shared" si="1"/>
        <v>4</v>
      </c>
      <c r="B4" s="169" t="s">
        <v>167</v>
      </c>
      <c r="C4" s="648"/>
      <c r="D4" s="418" t="s">
        <v>230</v>
      </c>
      <c r="E4" s="248" t="str">
        <f>D4</f>
        <v>Bh1</v>
      </c>
      <c r="F4" s="248" t="str">
        <f t="shared" ref="F4:O4" si="2">E4</f>
        <v>Bh1</v>
      </c>
      <c r="G4" s="248" t="str">
        <f t="shared" si="2"/>
        <v>Bh1</v>
      </c>
      <c r="H4" s="248" t="str">
        <f t="shared" si="2"/>
        <v>Bh1</v>
      </c>
      <c r="I4" s="248" t="str">
        <f t="shared" si="2"/>
        <v>Bh1</v>
      </c>
      <c r="J4" s="248" t="str">
        <f t="shared" si="2"/>
        <v>Bh1</v>
      </c>
      <c r="K4" s="248" t="str">
        <f t="shared" si="2"/>
        <v>Bh1</v>
      </c>
      <c r="L4" s="248" t="str">
        <f t="shared" si="2"/>
        <v>Bh1</v>
      </c>
      <c r="M4" s="248" t="str">
        <f t="shared" si="2"/>
        <v>Bh1</v>
      </c>
      <c r="N4" s="248" t="str">
        <f t="shared" si="2"/>
        <v>Bh1</v>
      </c>
      <c r="O4" s="248" t="str">
        <f t="shared" si="2"/>
        <v>Bh1</v>
      </c>
      <c r="P4" s="7" t="s">
        <v>216</v>
      </c>
      <c r="Q4" s="92"/>
      <c r="R4" s="92"/>
      <c r="S4" s="92"/>
      <c r="T4" s="92"/>
      <c r="U4" s="92"/>
      <c r="V4" s="92"/>
    </row>
    <row r="5" spans="1:22" ht="24" customHeight="1">
      <c r="A5" s="5">
        <f>A4+1</f>
        <v>5</v>
      </c>
      <c r="B5" s="170" t="s">
        <v>62</v>
      </c>
      <c r="C5" s="648"/>
      <c r="D5" s="426" t="str">
        <f t="shared" ref="D5:O5" si="3">IF(C5&lt;&gt;"",C5,"")</f>
        <v/>
      </c>
      <c r="E5" s="82" t="str">
        <f t="shared" si="3"/>
        <v/>
      </c>
      <c r="F5" s="82" t="str">
        <f t="shared" si="3"/>
        <v/>
      </c>
      <c r="G5" s="82" t="str">
        <f t="shared" si="3"/>
        <v/>
      </c>
      <c r="H5" s="82" t="str">
        <f t="shared" si="3"/>
        <v/>
      </c>
      <c r="I5" s="82" t="str">
        <f t="shared" si="3"/>
        <v/>
      </c>
      <c r="J5" s="82" t="str">
        <f t="shared" si="3"/>
        <v/>
      </c>
      <c r="K5" s="82" t="str">
        <f t="shared" si="3"/>
        <v/>
      </c>
      <c r="L5" s="82" t="str">
        <f t="shared" si="3"/>
        <v/>
      </c>
      <c r="M5" s="82" t="str">
        <f t="shared" si="3"/>
        <v/>
      </c>
      <c r="N5" s="82" t="str">
        <f t="shared" si="3"/>
        <v/>
      </c>
      <c r="O5" s="82" t="str">
        <f t="shared" si="3"/>
        <v/>
      </c>
      <c r="P5" s="67" t="s">
        <v>63</v>
      </c>
      <c r="Q5" s="92"/>
      <c r="R5" s="92"/>
      <c r="S5" s="92"/>
      <c r="T5" s="92"/>
      <c r="U5" s="92"/>
      <c r="V5" s="92"/>
    </row>
    <row r="6" spans="1:22" ht="24" customHeight="1">
      <c r="A6" s="5">
        <f t="shared" si="1"/>
        <v>6</v>
      </c>
      <c r="B6" s="169" t="s">
        <v>123</v>
      </c>
      <c r="C6" s="648"/>
      <c r="D6" s="418" t="s">
        <v>229</v>
      </c>
      <c r="E6" s="80" t="str">
        <f>$D6</f>
        <v>L</v>
      </c>
      <c r="F6" s="80" t="str">
        <f t="shared" ref="F6:O8" si="4">$D6</f>
        <v>L</v>
      </c>
      <c r="G6" s="80" t="str">
        <f t="shared" si="4"/>
        <v>L</v>
      </c>
      <c r="H6" s="80" t="str">
        <f t="shared" si="4"/>
        <v>L</v>
      </c>
      <c r="I6" s="80" t="str">
        <f t="shared" si="4"/>
        <v>L</v>
      </c>
      <c r="J6" s="80" t="str">
        <f t="shared" si="4"/>
        <v>L</v>
      </c>
      <c r="K6" s="80" t="str">
        <f t="shared" si="4"/>
        <v>L</v>
      </c>
      <c r="L6" s="80" t="str">
        <f t="shared" si="4"/>
        <v>L</v>
      </c>
      <c r="M6" s="80" t="str">
        <f t="shared" si="4"/>
        <v>L</v>
      </c>
      <c r="N6" s="80" t="str">
        <f t="shared" si="4"/>
        <v>L</v>
      </c>
      <c r="O6" s="80" t="str">
        <f t="shared" si="4"/>
        <v>L</v>
      </c>
      <c r="P6" s="7" t="s">
        <v>18</v>
      </c>
      <c r="Q6" s="92"/>
      <c r="R6" s="92"/>
      <c r="S6" s="92"/>
      <c r="T6" s="92"/>
      <c r="U6" s="92"/>
      <c r="V6" s="92"/>
    </row>
    <row r="7" spans="1:22" ht="14" customHeight="1">
      <c r="A7" s="5">
        <f t="shared" si="1"/>
        <v>7</v>
      </c>
      <c r="B7" s="169" t="s">
        <v>223</v>
      </c>
      <c r="C7" s="648"/>
      <c r="D7" s="198">
        <v>1.2886280000000001</v>
      </c>
      <c r="E7" s="198">
        <v>1.2886280000000001</v>
      </c>
      <c r="F7" s="198">
        <v>1.2965439999999999</v>
      </c>
      <c r="G7" s="198">
        <v>1.2965439999999999</v>
      </c>
      <c r="H7" s="198">
        <v>1.2965439999999999</v>
      </c>
      <c r="I7" s="198">
        <v>1.2965439999999999</v>
      </c>
      <c r="J7" s="198">
        <v>1.2965439999999999</v>
      </c>
      <c r="K7" s="198">
        <v>1.2965439999999999</v>
      </c>
      <c r="L7" s="71">
        <v>1.3106599999999999</v>
      </c>
      <c r="M7" s="71">
        <v>1.3106599999999999</v>
      </c>
      <c r="N7" s="71">
        <v>1.3106599999999999</v>
      </c>
      <c r="O7" s="71">
        <v>1.3106599999999999</v>
      </c>
      <c r="P7" s="72" t="s">
        <v>195</v>
      </c>
      <c r="Q7" s="92"/>
      <c r="R7" s="92"/>
      <c r="S7" s="92"/>
      <c r="T7" s="92"/>
      <c r="U7" s="92"/>
      <c r="V7" s="92"/>
    </row>
    <row r="8" spans="1:22" ht="14" customHeight="1">
      <c r="A8" s="5">
        <f t="shared" si="1"/>
        <v>8</v>
      </c>
      <c r="B8" s="169" t="s">
        <v>139</v>
      </c>
      <c r="C8" s="648"/>
      <c r="D8" s="396">
        <v>3</v>
      </c>
      <c r="E8" s="80">
        <f>$D8</f>
        <v>3</v>
      </c>
      <c r="F8" s="80">
        <f t="shared" si="4"/>
        <v>3</v>
      </c>
      <c r="G8" s="80">
        <f t="shared" si="4"/>
        <v>3</v>
      </c>
      <c r="H8" s="80">
        <f t="shared" si="4"/>
        <v>3</v>
      </c>
      <c r="I8" s="80">
        <f t="shared" si="4"/>
        <v>3</v>
      </c>
      <c r="J8" s="80">
        <f t="shared" si="4"/>
        <v>3</v>
      </c>
      <c r="K8" s="80">
        <f t="shared" si="4"/>
        <v>3</v>
      </c>
      <c r="L8" s="80">
        <f t="shared" si="4"/>
        <v>3</v>
      </c>
      <c r="M8" s="80">
        <f t="shared" si="4"/>
        <v>3</v>
      </c>
      <c r="N8" s="80">
        <f t="shared" si="4"/>
        <v>3</v>
      </c>
      <c r="O8" s="80">
        <f t="shared" si="4"/>
        <v>3</v>
      </c>
      <c r="P8" s="3" t="s">
        <v>108</v>
      </c>
      <c r="Q8" s="92"/>
      <c r="R8" s="92"/>
      <c r="S8" s="92"/>
      <c r="T8" s="92"/>
      <c r="U8" s="92"/>
      <c r="V8" s="92"/>
    </row>
    <row r="9" spans="1:22" ht="24">
      <c r="A9" s="5">
        <f>A8+1</f>
        <v>9</v>
      </c>
      <c r="B9" s="169" t="s">
        <v>224</v>
      </c>
      <c r="C9" s="648"/>
      <c r="D9" s="151"/>
      <c r="E9" s="249">
        <f>D9</f>
        <v>0</v>
      </c>
      <c r="F9" s="249">
        <f t="shared" ref="F9:O12" si="5">E9</f>
        <v>0</v>
      </c>
      <c r="G9" s="249">
        <f t="shared" ref="G9:I10" si="6">F9</f>
        <v>0</v>
      </c>
      <c r="H9" s="249">
        <f t="shared" si="6"/>
        <v>0</v>
      </c>
      <c r="I9" s="249">
        <f t="shared" si="6"/>
        <v>0</v>
      </c>
      <c r="J9" s="359">
        <v>0.8</v>
      </c>
      <c r="K9" s="249">
        <f t="shared" ref="K9:M10" si="7">J9</f>
        <v>0.8</v>
      </c>
      <c r="L9" s="249">
        <f t="shared" si="7"/>
        <v>0.8</v>
      </c>
      <c r="M9" s="249">
        <f t="shared" si="7"/>
        <v>0.8</v>
      </c>
      <c r="N9" s="249">
        <f t="shared" si="5"/>
        <v>0.8</v>
      </c>
      <c r="O9" s="249">
        <f t="shared" si="5"/>
        <v>0.8</v>
      </c>
      <c r="P9" s="7" t="s">
        <v>82</v>
      </c>
      <c r="Q9" s="92"/>
      <c r="R9" s="92"/>
      <c r="S9" s="92"/>
      <c r="T9" s="92"/>
      <c r="U9" s="92"/>
      <c r="V9" s="92"/>
    </row>
    <row r="10" spans="1:22" ht="24" customHeight="1">
      <c r="A10" s="5">
        <f t="shared" si="1"/>
        <v>10</v>
      </c>
      <c r="B10" s="169" t="s">
        <v>225</v>
      </c>
      <c r="C10" s="648"/>
      <c r="D10" s="200"/>
      <c r="E10" s="250">
        <f>D10</f>
        <v>0</v>
      </c>
      <c r="F10" s="250">
        <f t="shared" si="5"/>
        <v>0</v>
      </c>
      <c r="G10" s="250">
        <f t="shared" si="6"/>
        <v>0</v>
      </c>
      <c r="H10" s="250">
        <f t="shared" si="6"/>
        <v>0</v>
      </c>
      <c r="I10" s="250">
        <f t="shared" si="6"/>
        <v>0</v>
      </c>
      <c r="J10" s="360">
        <v>660</v>
      </c>
      <c r="K10" s="250">
        <f t="shared" si="7"/>
        <v>660</v>
      </c>
      <c r="L10" s="250">
        <f t="shared" si="7"/>
        <v>660</v>
      </c>
      <c r="M10" s="250">
        <f t="shared" si="7"/>
        <v>660</v>
      </c>
      <c r="N10" s="250">
        <f t="shared" si="5"/>
        <v>660</v>
      </c>
      <c r="O10" s="250">
        <f t="shared" si="5"/>
        <v>660</v>
      </c>
      <c r="P10" s="7" t="s">
        <v>76</v>
      </c>
      <c r="Q10" s="92"/>
      <c r="R10" s="92"/>
      <c r="S10" s="92"/>
      <c r="T10" s="92"/>
      <c r="U10" s="92"/>
      <c r="V10" s="92"/>
    </row>
    <row r="11" spans="1:22" ht="24" customHeight="1">
      <c r="A11" s="5">
        <f t="shared" si="1"/>
        <v>11</v>
      </c>
      <c r="B11" s="171" t="s">
        <v>226</v>
      </c>
      <c r="C11" s="648"/>
      <c r="D11" s="201"/>
      <c r="E11" s="251">
        <f>D11</f>
        <v>0</v>
      </c>
      <c r="F11" s="251">
        <f t="shared" si="5"/>
        <v>0</v>
      </c>
      <c r="G11" s="251">
        <f t="shared" si="5"/>
        <v>0</v>
      </c>
      <c r="H11" s="251">
        <f t="shared" si="5"/>
        <v>0</v>
      </c>
      <c r="I11" s="251">
        <f t="shared" si="5"/>
        <v>0</v>
      </c>
      <c r="J11" s="251">
        <f t="shared" si="5"/>
        <v>0</v>
      </c>
      <c r="K11" s="251">
        <f t="shared" si="5"/>
        <v>0</v>
      </c>
      <c r="L11" s="251">
        <f t="shared" si="5"/>
        <v>0</v>
      </c>
      <c r="M11" s="251">
        <f t="shared" si="5"/>
        <v>0</v>
      </c>
      <c r="N11" s="251">
        <f t="shared" si="5"/>
        <v>0</v>
      </c>
      <c r="O11" s="251">
        <f t="shared" si="5"/>
        <v>0</v>
      </c>
      <c r="P11" s="13" t="s">
        <v>83</v>
      </c>
      <c r="Q11" s="92"/>
      <c r="R11" s="92"/>
      <c r="S11" s="92"/>
      <c r="T11" s="92"/>
      <c r="U11" s="92"/>
      <c r="V11" s="92"/>
    </row>
    <row r="12" spans="1:22" ht="24" customHeight="1">
      <c r="A12" s="5">
        <f t="shared" si="1"/>
        <v>12</v>
      </c>
      <c r="B12" s="172" t="s">
        <v>271</v>
      </c>
      <c r="C12" s="648"/>
      <c r="D12" s="201"/>
      <c r="E12" s="251">
        <f>D12</f>
        <v>0</v>
      </c>
      <c r="F12" s="251">
        <f t="shared" si="5"/>
        <v>0</v>
      </c>
      <c r="G12" s="251">
        <f t="shared" si="5"/>
        <v>0</v>
      </c>
      <c r="H12" s="251">
        <f t="shared" si="5"/>
        <v>0</v>
      </c>
      <c r="I12" s="251">
        <f t="shared" si="5"/>
        <v>0</v>
      </c>
      <c r="J12" s="251">
        <f t="shared" si="5"/>
        <v>0</v>
      </c>
      <c r="K12" s="251">
        <f t="shared" si="5"/>
        <v>0</v>
      </c>
      <c r="L12" s="251">
        <f t="shared" si="5"/>
        <v>0</v>
      </c>
      <c r="M12" s="251">
        <f t="shared" si="5"/>
        <v>0</v>
      </c>
      <c r="N12" s="251">
        <f t="shared" si="5"/>
        <v>0</v>
      </c>
      <c r="O12" s="251">
        <f t="shared" si="5"/>
        <v>0</v>
      </c>
      <c r="P12" s="3" t="s">
        <v>86</v>
      </c>
      <c r="Q12" s="92"/>
      <c r="R12" s="92"/>
      <c r="S12" s="92"/>
      <c r="T12" s="92"/>
      <c r="U12" s="92"/>
      <c r="V12" s="92"/>
    </row>
    <row r="13" spans="1:22" ht="24" customHeight="1">
      <c r="A13" s="5">
        <f>A12+1</f>
        <v>13</v>
      </c>
      <c r="B13" s="173" t="s">
        <v>271</v>
      </c>
      <c r="C13" s="648"/>
      <c r="D13" s="202"/>
      <c r="E13" s="252">
        <f t="shared" ref="E13:O20" si="8">D13</f>
        <v>0</v>
      </c>
      <c r="F13" s="252">
        <f t="shared" si="8"/>
        <v>0</v>
      </c>
      <c r="G13" s="252">
        <f t="shared" si="8"/>
        <v>0</v>
      </c>
      <c r="H13" s="252">
        <f t="shared" si="8"/>
        <v>0</v>
      </c>
      <c r="I13" s="252">
        <f t="shared" si="8"/>
        <v>0</v>
      </c>
      <c r="J13" s="252">
        <f t="shared" si="8"/>
        <v>0</v>
      </c>
      <c r="K13" s="252">
        <f t="shared" si="8"/>
        <v>0</v>
      </c>
      <c r="L13" s="252">
        <f t="shared" si="8"/>
        <v>0</v>
      </c>
      <c r="M13" s="252">
        <f t="shared" si="8"/>
        <v>0</v>
      </c>
      <c r="N13" s="252">
        <f t="shared" si="8"/>
        <v>0</v>
      </c>
      <c r="O13" s="252">
        <f t="shared" si="8"/>
        <v>0</v>
      </c>
      <c r="P13" s="3" t="s">
        <v>86</v>
      </c>
      <c r="Q13" s="92"/>
      <c r="R13" s="92"/>
      <c r="S13" s="92"/>
      <c r="T13" s="92"/>
      <c r="U13" s="92"/>
      <c r="V13" s="92"/>
    </row>
    <row r="14" spans="1:22" ht="24" customHeight="1">
      <c r="A14" s="5">
        <f t="shared" si="1"/>
        <v>14</v>
      </c>
      <c r="B14" s="174" t="s">
        <v>271</v>
      </c>
      <c r="C14" s="648"/>
      <c r="D14" s="203"/>
      <c r="E14" s="253">
        <f t="shared" si="8"/>
        <v>0</v>
      </c>
      <c r="F14" s="253">
        <f t="shared" si="8"/>
        <v>0</v>
      </c>
      <c r="G14" s="253">
        <f t="shared" si="8"/>
        <v>0</v>
      </c>
      <c r="H14" s="253">
        <f t="shared" si="8"/>
        <v>0</v>
      </c>
      <c r="I14" s="253">
        <f t="shared" si="8"/>
        <v>0</v>
      </c>
      <c r="J14" s="253">
        <f t="shared" si="8"/>
        <v>0</v>
      </c>
      <c r="K14" s="253">
        <f t="shared" si="8"/>
        <v>0</v>
      </c>
      <c r="L14" s="253">
        <f t="shared" si="8"/>
        <v>0</v>
      </c>
      <c r="M14" s="253">
        <f t="shared" si="8"/>
        <v>0</v>
      </c>
      <c r="N14" s="253">
        <f t="shared" si="8"/>
        <v>0</v>
      </c>
      <c r="O14" s="253">
        <f t="shared" si="8"/>
        <v>0</v>
      </c>
      <c r="P14" s="3" t="s">
        <v>86</v>
      </c>
      <c r="Q14" s="92"/>
      <c r="R14" s="92"/>
      <c r="S14" s="92"/>
      <c r="T14" s="92"/>
      <c r="U14" s="92"/>
      <c r="V14" s="92"/>
    </row>
    <row r="15" spans="1:22" ht="24" customHeight="1">
      <c r="A15" s="5">
        <f t="shared" si="1"/>
        <v>15</v>
      </c>
      <c r="B15" s="175" t="s">
        <v>201</v>
      </c>
      <c r="C15" s="648"/>
      <c r="D15" s="204"/>
      <c r="E15" s="254">
        <f t="shared" si="8"/>
        <v>0</v>
      </c>
      <c r="F15" s="254">
        <f t="shared" si="8"/>
        <v>0</v>
      </c>
      <c r="G15" s="254">
        <f t="shared" si="8"/>
        <v>0</v>
      </c>
      <c r="H15" s="254">
        <f t="shared" si="8"/>
        <v>0</v>
      </c>
      <c r="I15" s="254">
        <f t="shared" si="8"/>
        <v>0</v>
      </c>
      <c r="J15" s="254">
        <f t="shared" si="8"/>
        <v>0</v>
      </c>
      <c r="K15" s="254">
        <f t="shared" si="8"/>
        <v>0</v>
      </c>
      <c r="L15" s="254">
        <f t="shared" si="8"/>
        <v>0</v>
      </c>
      <c r="M15" s="254">
        <f t="shared" si="8"/>
        <v>0</v>
      </c>
      <c r="N15" s="254">
        <f t="shared" si="8"/>
        <v>0</v>
      </c>
      <c r="O15" s="254">
        <f t="shared" si="8"/>
        <v>0</v>
      </c>
      <c r="P15" s="3" t="s">
        <v>84</v>
      </c>
      <c r="Q15" s="92"/>
      <c r="R15" s="92"/>
      <c r="S15" s="92"/>
      <c r="T15" s="92"/>
      <c r="U15" s="92"/>
      <c r="V15" s="92"/>
    </row>
    <row r="16" spans="1:22" ht="24" customHeight="1">
      <c r="A16" s="5">
        <f t="shared" si="1"/>
        <v>16</v>
      </c>
      <c r="B16" s="172" t="s">
        <v>202</v>
      </c>
      <c r="C16" s="648"/>
      <c r="D16" s="201"/>
      <c r="E16" s="251">
        <f t="shared" si="8"/>
        <v>0</v>
      </c>
      <c r="F16" s="251">
        <f t="shared" si="8"/>
        <v>0</v>
      </c>
      <c r="G16" s="251">
        <f t="shared" si="8"/>
        <v>0</v>
      </c>
      <c r="H16" s="251">
        <f t="shared" si="8"/>
        <v>0</v>
      </c>
      <c r="I16" s="251">
        <f t="shared" si="8"/>
        <v>0</v>
      </c>
      <c r="J16" s="361">
        <v>12000</v>
      </c>
      <c r="K16" s="251">
        <f t="shared" si="8"/>
        <v>12000</v>
      </c>
      <c r="L16" s="251">
        <f t="shared" si="8"/>
        <v>12000</v>
      </c>
      <c r="M16" s="251">
        <f t="shared" si="8"/>
        <v>12000</v>
      </c>
      <c r="N16" s="251">
        <f t="shared" si="8"/>
        <v>12000</v>
      </c>
      <c r="O16" s="251">
        <f t="shared" si="8"/>
        <v>12000</v>
      </c>
      <c r="P16" s="3" t="s">
        <v>84</v>
      </c>
      <c r="Q16" s="92"/>
      <c r="R16" s="92"/>
      <c r="S16" s="92"/>
      <c r="T16" s="92"/>
      <c r="U16" s="92"/>
      <c r="V16" s="92"/>
    </row>
    <row r="17" spans="1:22" ht="24" customHeight="1">
      <c r="A17" s="5">
        <f>A16+1</f>
        <v>17</v>
      </c>
      <c r="B17" s="176" t="s">
        <v>202</v>
      </c>
      <c r="C17" s="648"/>
      <c r="D17" s="202"/>
      <c r="E17" s="252">
        <f t="shared" si="8"/>
        <v>0</v>
      </c>
      <c r="F17" s="252">
        <f t="shared" si="8"/>
        <v>0</v>
      </c>
      <c r="G17" s="252">
        <f t="shared" si="8"/>
        <v>0</v>
      </c>
      <c r="H17" s="252">
        <f t="shared" si="8"/>
        <v>0</v>
      </c>
      <c r="I17" s="252">
        <f t="shared" si="8"/>
        <v>0</v>
      </c>
      <c r="J17" s="252">
        <f t="shared" si="8"/>
        <v>0</v>
      </c>
      <c r="K17" s="252">
        <f t="shared" si="8"/>
        <v>0</v>
      </c>
      <c r="L17" s="252">
        <f t="shared" si="8"/>
        <v>0</v>
      </c>
      <c r="M17" s="252">
        <f t="shared" si="8"/>
        <v>0</v>
      </c>
      <c r="N17" s="252">
        <f t="shared" si="8"/>
        <v>0</v>
      </c>
      <c r="O17" s="252">
        <f t="shared" si="8"/>
        <v>0</v>
      </c>
      <c r="P17" s="3" t="s">
        <v>84</v>
      </c>
      <c r="Q17" s="92"/>
      <c r="R17" s="92"/>
      <c r="S17" s="92"/>
      <c r="T17" s="92"/>
      <c r="U17" s="92"/>
      <c r="V17" s="92"/>
    </row>
    <row r="18" spans="1:22" ht="24" customHeight="1">
      <c r="A18" s="5">
        <f t="shared" si="1"/>
        <v>18</v>
      </c>
      <c r="B18" s="174" t="s">
        <v>217</v>
      </c>
      <c r="C18" s="648"/>
      <c r="D18" s="205"/>
      <c r="E18" s="255">
        <f t="shared" si="8"/>
        <v>0</v>
      </c>
      <c r="F18" s="255">
        <f t="shared" si="8"/>
        <v>0</v>
      </c>
      <c r="G18" s="255">
        <f t="shared" si="8"/>
        <v>0</v>
      </c>
      <c r="H18" s="255">
        <f t="shared" si="8"/>
        <v>0</v>
      </c>
      <c r="I18" s="255">
        <f t="shared" si="8"/>
        <v>0</v>
      </c>
      <c r="J18" s="255">
        <f t="shared" si="8"/>
        <v>0</v>
      </c>
      <c r="K18" s="255">
        <f t="shared" si="8"/>
        <v>0</v>
      </c>
      <c r="L18" s="255">
        <f t="shared" si="8"/>
        <v>0</v>
      </c>
      <c r="M18" s="255">
        <f t="shared" si="8"/>
        <v>0</v>
      </c>
      <c r="N18" s="255">
        <f t="shared" si="8"/>
        <v>0</v>
      </c>
      <c r="O18" s="255">
        <f t="shared" si="8"/>
        <v>0</v>
      </c>
      <c r="P18" s="3" t="s">
        <v>84</v>
      </c>
      <c r="Q18" s="92"/>
      <c r="R18" s="92"/>
      <c r="S18" s="92"/>
      <c r="T18" s="92"/>
      <c r="U18" s="92"/>
      <c r="V18" s="92"/>
    </row>
    <row r="19" spans="1:22" ht="24" customHeight="1">
      <c r="A19" s="5">
        <f t="shared" si="1"/>
        <v>19</v>
      </c>
      <c r="B19" s="177" t="s">
        <v>218</v>
      </c>
      <c r="C19" s="648"/>
      <c r="D19" s="206" t="s">
        <v>265</v>
      </c>
      <c r="E19" s="256" t="str">
        <f>D19</f>
        <v>NEJ</v>
      </c>
      <c r="F19" s="256" t="str">
        <f t="shared" si="8"/>
        <v>NEJ</v>
      </c>
      <c r="G19" s="256" t="str">
        <f t="shared" si="8"/>
        <v>NEJ</v>
      </c>
      <c r="H19" s="256" t="str">
        <f t="shared" si="8"/>
        <v>NEJ</v>
      </c>
      <c r="I19" s="256" t="str">
        <f t="shared" si="8"/>
        <v>NEJ</v>
      </c>
      <c r="J19" s="256" t="str">
        <f t="shared" si="8"/>
        <v>NEJ</v>
      </c>
      <c r="K19" s="256" t="str">
        <f t="shared" si="8"/>
        <v>NEJ</v>
      </c>
      <c r="L19" s="256" t="str">
        <f t="shared" si="8"/>
        <v>NEJ</v>
      </c>
      <c r="M19" s="256" t="str">
        <f t="shared" si="8"/>
        <v>NEJ</v>
      </c>
      <c r="N19" s="256" t="str">
        <f t="shared" si="8"/>
        <v>NEJ</v>
      </c>
      <c r="O19" s="256" t="str">
        <f t="shared" si="8"/>
        <v>NEJ</v>
      </c>
      <c r="P19" s="7" t="s">
        <v>200</v>
      </c>
      <c r="Q19" s="92"/>
      <c r="R19" s="92"/>
      <c r="S19" s="92"/>
      <c r="T19" s="92"/>
      <c r="U19" s="92"/>
      <c r="V19" s="92"/>
    </row>
    <row r="20" spans="1:22" ht="14" customHeight="1">
      <c r="A20" s="5">
        <f t="shared" si="1"/>
        <v>20</v>
      </c>
      <c r="B20" s="178" t="s">
        <v>267</v>
      </c>
      <c r="C20" s="648"/>
      <c r="D20" s="207">
        <v>0</v>
      </c>
      <c r="E20" s="257">
        <f>D20</f>
        <v>0</v>
      </c>
      <c r="F20" s="257">
        <f t="shared" si="8"/>
        <v>0</v>
      </c>
      <c r="G20" s="257">
        <f t="shared" si="8"/>
        <v>0</v>
      </c>
      <c r="H20" s="257">
        <f t="shared" si="8"/>
        <v>0</v>
      </c>
      <c r="I20" s="257">
        <f t="shared" si="8"/>
        <v>0</v>
      </c>
      <c r="J20" s="257">
        <f t="shared" si="8"/>
        <v>0</v>
      </c>
      <c r="K20" s="257">
        <f t="shared" si="8"/>
        <v>0</v>
      </c>
      <c r="L20" s="257">
        <f t="shared" si="8"/>
        <v>0</v>
      </c>
      <c r="M20" s="257">
        <f t="shared" si="8"/>
        <v>0</v>
      </c>
      <c r="N20" s="257">
        <f t="shared" si="8"/>
        <v>0</v>
      </c>
      <c r="O20" s="257">
        <f t="shared" si="8"/>
        <v>0</v>
      </c>
      <c r="P20" s="148" t="s">
        <v>165</v>
      </c>
      <c r="Q20" s="92"/>
      <c r="R20" s="92"/>
      <c r="S20" s="92"/>
      <c r="T20" s="92"/>
      <c r="U20" s="92"/>
      <c r="V20" s="92"/>
    </row>
    <row r="21" spans="1:22" ht="14" customHeight="1">
      <c r="A21" s="5">
        <f t="shared" si="1"/>
        <v>21</v>
      </c>
      <c r="B21" s="179" t="s">
        <v>231</v>
      </c>
      <c r="C21" s="648"/>
      <c r="D21" s="208"/>
      <c r="E21" s="152"/>
      <c r="F21" s="152"/>
      <c r="G21" s="152"/>
      <c r="H21" s="152"/>
      <c r="I21" s="152"/>
      <c r="J21" s="152"/>
      <c r="K21" s="152"/>
      <c r="L21" s="152"/>
      <c r="M21" s="152"/>
      <c r="N21" s="152"/>
      <c r="O21" s="152">
        <v>20</v>
      </c>
      <c r="P21" s="3" t="s">
        <v>232</v>
      </c>
      <c r="Q21" s="92"/>
      <c r="R21" s="92"/>
      <c r="S21" s="92"/>
      <c r="T21" s="92"/>
      <c r="U21" s="92"/>
      <c r="V21" s="92"/>
    </row>
    <row r="22" spans="1:22" ht="27" customHeight="1">
      <c r="A22" s="5">
        <f t="shared" si="1"/>
        <v>22</v>
      </c>
      <c r="B22" s="135" t="s">
        <v>240</v>
      </c>
      <c r="C22" s="648"/>
      <c r="D22" s="209"/>
      <c r="E22" s="153"/>
      <c r="F22" s="153"/>
      <c r="G22" s="153"/>
      <c r="H22" s="153"/>
      <c r="I22" s="153"/>
      <c r="J22" s="153"/>
      <c r="K22" s="153"/>
      <c r="L22" s="153"/>
      <c r="M22" s="153"/>
      <c r="N22" s="153"/>
      <c r="O22" s="153">
        <v>20</v>
      </c>
      <c r="P22" s="3" t="s">
        <v>206</v>
      </c>
      <c r="Q22" s="92"/>
      <c r="R22" s="92"/>
      <c r="S22" s="92"/>
      <c r="T22" s="92"/>
      <c r="U22" s="92"/>
      <c r="V22" s="92"/>
    </row>
    <row r="23" spans="1:22" ht="14" customHeight="1">
      <c r="A23" s="5">
        <f t="shared" si="1"/>
        <v>23</v>
      </c>
      <c r="B23" s="180" t="s">
        <v>257</v>
      </c>
      <c r="C23" s="649"/>
      <c r="D23" s="210">
        <v>0</v>
      </c>
      <c r="E23" s="258">
        <f t="shared" ref="E23:L23" si="9">D23</f>
        <v>0</v>
      </c>
      <c r="F23" s="258">
        <f t="shared" si="9"/>
        <v>0</v>
      </c>
      <c r="G23" s="258">
        <f t="shared" si="9"/>
        <v>0</v>
      </c>
      <c r="H23" s="258">
        <f t="shared" si="9"/>
        <v>0</v>
      </c>
      <c r="I23" s="258">
        <f t="shared" si="9"/>
        <v>0</v>
      </c>
      <c r="J23" s="258">
        <f t="shared" si="9"/>
        <v>0</v>
      </c>
      <c r="K23" s="258">
        <f t="shared" si="9"/>
        <v>0</v>
      </c>
      <c r="L23" s="258">
        <f t="shared" si="9"/>
        <v>0</v>
      </c>
      <c r="M23" s="166"/>
      <c r="N23" s="154"/>
      <c r="O23" s="154"/>
      <c r="P23" s="150" t="s">
        <v>270</v>
      </c>
      <c r="Q23" s="92"/>
      <c r="R23" s="92"/>
      <c r="S23" s="92"/>
      <c r="T23" s="92"/>
      <c r="U23" s="92"/>
      <c r="V23" s="92"/>
    </row>
    <row r="24" spans="1:22" ht="14" customHeight="1">
      <c r="A24" s="5">
        <f t="shared" si="1"/>
        <v>24</v>
      </c>
      <c r="B24" s="181" t="s">
        <v>254</v>
      </c>
      <c r="C24" s="649"/>
      <c r="D24" s="143" t="s">
        <v>221</v>
      </c>
      <c r="E24" s="155"/>
      <c r="F24" s="155"/>
      <c r="G24" s="155"/>
      <c r="H24" s="155"/>
      <c r="I24" s="155"/>
      <c r="J24" s="155"/>
      <c r="K24" s="155"/>
      <c r="L24" s="167"/>
      <c r="M24" s="156">
        <v>0</v>
      </c>
      <c r="N24" s="259">
        <f>M24</f>
        <v>0</v>
      </c>
      <c r="O24" s="259">
        <f>N24</f>
        <v>0</v>
      </c>
      <c r="P24" s="147" t="s">
        <v>269</v>
      </c>
      <c r="Q24" s="92"/>
      <c r="R24" s="92"/>
      <c r="S24" s="92"/>
      <c r="T24" s="92"/>
      <c r="U24" s="92"/>
      <c r="V24" s="92"/>
    </row>
    <row r="25" spans="1:22" ht="14" customHeight="1">
      <c r="A25" s="5">
        <f t="shared" si="1"/>
        <v>25</v>
      </c>
      <c r="B25" s="182" t="s">
        <v>211</v>
      </c>
      <c r="C25" s="649"/>
      <c r="D25" s="211"/>
      <c r="E25" s="129"/>
      <c r="F25" s="129"/>
      <c r="G25" s="129"/>
      <c r="H25" s="129"/>
      <c r="I25" s="129"/>
      <c r="J25" s="129"/>
      <c r="K25" s="129"/>
      <c r="L25" s="129"/>
      <c r="M25" s="129">
        <v>2</v>
      </c>
      <c r="N25" s="129"/>
      <c r="O25" s="129"/>
      <c r="P25" s="148" t="s">
        <v>264</v>
      </c>
      <c r="Q25" s="92"/>
      <c r="R25" s="92"/>
      <c r="S25" s="92"/>
      <c r="T25" s="92"/>
      <c r="U25" s="92"/>
      <c r="V25" s="92"/>
    </row>
    <row r="26" spans="1:22" ht="14" customHeight="1">
      <c r="A26" s="5">
        <f t="shared" si="1"/>
        <v>26</v>
      </c>
      <c r="B26" s="183" t="s">
        <v>212</v>
      </c>
      <c r="C26" s="649"/>
      <c r="D26" s="212"/>
      <c r="E26" s="260">
        <f>D26</f>
        <v>0</v>
      </c>
      <c r="F26" s="260">
        <f t="shared" ref="F26:O27" si="10">E26</f>
        <v>0</v>
      </c>
      <c r="G26" s="260">
        <f t="shared" si="10"/>
        <v>0</v>
      </c>
      <c r="H26" s="260">
        <f t="shared" si="10"/>
        <v>0</v>
      </c>
      <c r="I26" s="260">
        <f t="shared" si="10"/>
        <v>0</v>
      </c>
      <c r="J26" s="362">
        <v>42</v>
      </c>
      <c r="K26" s="260">
        <f t="shared" si="10"/>
        <v>42</v>
      </c>
      <c r="L26" s="260">
        <f t="shared" si="10"/>
        <v>42</v>
      </c>
      <c r="M26" s="260">
        <f t="shared" si="10"/>
        <v>42</v>
      </c>
      <c r="N26" s="260">
        <f t="shared" si="10"/>
        <v>42</v>
      </c>
      <c r="O26" s="260">
        <f t="shared" si="10"/>
        <v>42</v>
      </c>
      <c r="P26" s="3" t="s">
        <v>23</v>
      </c>
      <c r="Q26" s="92"/>
      <c r="R26" s="92"/>
      <c r="S26" s="92"/>
      <c r="T26" s="92"/>
      <c r="U26" s="92"/>
      <c r="V26" s="92"/>
    </row>
    <row r="27" spans="1:22" ht="14" customHeight="1">
      <c r="A27" s="5">
        <f t="shared" si="1"/>
        <v>27</v>
      </c>
      <c r="B27" s="182" t="s">
        <v>213</v>
      </c>
      <c r="C27" s="649"/>
      <c r="D27" s="213"/>
      <c r="E27" s="261">
        <f>D27</f>
        <v>0</v>
      </c>
      <c r="F27" s="261">
        <f t="shared" si="10"/>
        <v>0</v>
      </c>
      <c r="G27" s="261">
        <f t="shared" si="10"/>
        <v>0</v>
      </c>
      <c r="H27" s="261">
        <f t="shared" si="10"/>
        <v>0</v>
      </c>
      <c r="I27" s="261">
        <f t="shared" si="10"/>
        <v>0</v>
      </c>
      <c r="J27" s="363">
        <v>5000</v>
      </c>
      <c r="K27" s="261">
        <f t="shared" si="10"/>
        <v>5000</v>
      </c>
      <c r="L27" s="261">
        <f t="shared" si="10"/>
        <v>5000</v>
      </c>
      <c r="M27" s="261">
        <f t="shared" si="10"/>
        <v>5000</v>
      </c>
      <c r="N27" s="261">
        <f t="shared" si="10"/>
        <v>5000</v>
      </c>
      <c r="O27" s="261">
        <f t="shared" si="10"/>
        <v>5000</v>
      </c>
      <c r="P27" s="148"/>
      <c r="Q27" s="92"/>
      <c r="R27" s="92"/>
      <c r="S27" s="92"/>
      <c r="T27" s="92"/>
      <c r="U27" s="92"/>
      <c r="V27" s="92"/>
    </row>
    <row r="28" spans="1:22">
      <c r="A28" s="5">
        <f t="shared" si="1"/>
        <v>28</v>
      </c>
      <c r="B28" s="184" t="s">
        <v>154</v>
      </c>
      <c r="C28" s="649"/>
      <c r="D28" s="234"/>
      <c r="E28" s="235"/>
      <c r="F28" s="235"/>
      <c r="G28" s="235"/>
      <c r="H28" s="235"/>
      <c r="I28" s="235"/>
      <c r="J28" s="235"/>
      <c r="K28" s="235"/>
      <c r="L28" s="235"/>
      <c r="M28" s="235"/>
      <c r="N28" s="235"/>
      <c r="O28" s="235"/>
      <c r="P28" s="7" t="s">
        <v>150</v>
      </c>
      <c r="Q28" s="92"/>
      <c r="R28" s="92"/>
      <c r="S28" s="92"/>
      <c r="T28" s="92"/>
      <c r="U28" s="92"/>
      <c r="V28" s="92"/>
    </row>
    <row r="29" spans="1:22">
      <c r="A29" s="5">
        <f t="shared" si="1"/>
        <v>29</v>
      </c>
      <c r="B29" s="185" t="s">
        <v>164</v>
      </c>
      <c r="C29" s="649"/>
      <c r="D29" s="236"/>
      <c r="E29" s="237"/>
      <c r="F29" s="237"/>
      <c r="G29" s="237"/>
      <c r="H29" s="237"/>
      <c r="I29" s="237"/>
      <c r="J29" s="237"/>
      <c r="K29" s="237"/>
      <c r="L29" s="237"/>
      <c r="M29" s="237"/>
      <c r="N29" s="237"/>
      <c r="O29" s="237"/>
      <c r="P29" s="7" t="s">
        <v>151</v>
      </c>
      <c r="Q29" s="92"/>
      <c r="R29" s="92"/>
      <c r="S29" s="92"/>
      <c r="T29" s="92"/>
      <c r="U29" s="92"/>
      <c r="V29" s="92"/>
    </row>
    <row r="30" spans="1:22">
      <c r="A30" s="5">
        <f t="shared" si="1"/>
        <v>30</v>
      </c>
      <c r="B30" s="185" t="s">
        <v>155</v>
      </c>
      <c r="C30" s="649"/>
      <c r="D30" s="236"/>
      <c r="E30" s="237"/>
      <c r="F30" s="237"/>
      <c r="G30" s="237"/>
      <c r="H30" s="237"/>
      <c r="I30" s="237"/>
      <c r="J30" s="237"/>
      <c r="K30" s="237"/>
      <c r="L30" s="237"/>
      <c r="M30" s="237"/>
      <c r="N30" s="237"/>
      <c r="O30" s="237"/>
      <c r="P30" s="7" t="s">
        <v>152</v>
      </c>
      <c r="Q30" s="92"/>
      <c r="R30" s="92"/>
      <c r="S30" s="92"/>
      <c r="T30" s="92"/>
      <c r="U30" s="92"/>
      <c r="V30" s="92"/>
    </row>
    <row r="31" spans="1:22">
      <c r="A31" s="5">
        <f t="shared" si="1"/>
        <v>31</v>
      </c>
      <c r="B31" s="185" t="s">
        <v>140</v>
      </c>
      <c r="C31" s="649"/>
      <c r="D31" s="236"/>
      <c r="E31" s="237"/>
      <c r="F31" s="237"/>
      <c r="G31" s="237"/>
      <c r="H31" s="237"/>
      <c r="I31" s="237"/>
      <c r="J31" s="237"/>
      <c r="K31" s="237"/>
      <c r="L31" s="237"/>
      <c r="M31" s="237"/>
      <c r="N31" s="237"/>
      <c r="O31" s="237"/>
      <c r="P31" s="7" t="s">
        <v>142</v>
      </c>
      <c r="Q31" s="92"/>
      <c r="R31" s="92"/>
      <c r="S31" s="92"/>
      <c r="T31" s="92"/>
      <c r="U31" s="92"/>
      <c r="V31" s="92"/>
    </row>
    <row r="32" spans="1:22">
      <c r="A32" s="5">
        <f t="shared" si="1"/>
        <v>32</v>
      </c>
      <c r="B32" s="185" t="s">
        <v>214</v>
      </c>
      <c r="C32" s="649"/>
      <c r="D32" s="236"/>
      <c r="E32" s="237"/>
      <c r="F32" s="237"/>
      <c r="G32" s="237"/>
      <c r="H32" s="237"/>
      <c r="I32" s="237"/>
      <c r="J32" s="237"/>
      <c r="K32" s="237"/>
      <c r="L32" s="237"/>
      <c r="M32" s="237"/>
      <c r="N32" s="237"/>
      <c r="O32" s="237"/>
      <c r="P32" s="3" t="s">
        <v>153</v>
      </c>
      <c r="Q32" s="92"/>
      <c r="R32" s="92"/>
      <c r="S32" s="92"/>
      <c r="T32" s="92"/>
      <c r="U32" s="92"/>
      <c r="V32" s="92"/>
    </row>
    <row r="33" spans="1:22">
      <c r="A33" s="5">
        <f t="shared" si="1"/>
        <v>33</v>
      </c>
      <c r="B33" s="185" t="s">
        <v>156</v>
      </c>
      <c r="C33" s="649"/>
      <c r="D33" s="236"/>
      <c r="E33" s="237"/>
      <c r="F33" s="237"/>
      <c r="G33" s="237"/>
      <c r="H33" s="237"/>
      <c r="I33" s="237"/>
      <c r="J33" s="237"/>
      <c r="K33" s="237"/>
      <c r="L33" s="237"/>
      <c r="M33" s="237"/>
      <c r="N33" s="237"/>
      <c r="O33" s="237"/>
      <c r="P33" s="7" t="s">
        <v>85</v>
      </c>
      <c r="Q33" s="92"/>
      <c r="R33" s="92"/>
      <c r="S33" s="92"/>
      <c r="T33" s="92"/>
      <c r="U33" s="92"/>
      <c r="V33" s="92"/>
    </row>
    <row r="34" spans="1:22">
      <c r="A34" s="5">
        <f t="shared" si="1"/>
        <v>34</v>
      </c>
      <c r="B34" s="185" t="s">
        <v>158</v>
      </c>
      <c r="C34" s="649"/>
      <c r="D34" s="236"/>
      <c r="E34" s="237"/>
      <c r="F34" s="237"/>
      <c r="G34" s="237"/>
      <c r="H34" s="237"/>
      <c r="I34" s="237"/>
      <c r="J34" s="237"/>
      <c r="K34" s="237"/>
      <c r="L34" s="237"/>
      <c r="M34" s="237"/>
      <c r="N34" s="237"/>
      <c r="O34" s="237"/>
      <c r="P34" s="7" t="s">
        <v>77</v>
      </c>
      <c r="Q34" s="92"/>
      <c r="R34" s="92"/>
      <c r="S34" s="92"/>
      <c r="T34" s="92"/>
      <c r="U34" s="92"/>
      <c r="V34" s="92"/>
    </row>
    <row r="35" spans="1:22">
      <c r="A35" s="5">
        <f t="shared" si="1"/>
        <v>35</v>
      </c>
      <c r="B35" s="185" t="s">
        <v>157</v>
      </c>
      <c r="C35" s="649"/>
      <c r="D35" s="236"/>
      <c r="E35" s="237"/>
      <c r="F35" s="237"/>
      <c r="G35" s="237"/>
      <c r="H35" s="237"/>
      <c r="I35" s="237"/>
      <c r="J35" s="237"/>
      <c r="K35" s="237"/>
      <c r="L35" s="237"/>
      <c r="M35" s="237"/>
      <c r="N35" s="237"/>
      <c r="O35" s="237"/>
      <c r="P35" s="7" t="s">
        <v>77</v>
      </c>
      <c r="Q35" s="92"/>
      <c r="R35" s="92"/>
      <c r="S35" s="92"/>
      <c r="T35" s="92"/>
      <c r="U35" s="92"/>
      <c r="V35" s="92"/>
    </row>
    <row r="36" spans="1:22">
      <c r="A36" s="5">
        <f t="shared" si="1"/>
        <v>36</v>
      </c>
      <c r="B36" s="185" t="s">
        <v>159</v>
      </c>
      <c r="C36" s="649"/>
      <c r="D36" s="236"/>
      <c r="E36" s="237"/>
      <c r="F36" s="237"/>
      <c r="G36" s="237"/>
      <c r="H36" s="237"/>
      <c r="I36" s="237"/>
      <c r="J36" s="237"/>
      <c r="K36" s="237"/>
      <c r="L36" s="237"/>
      <c r="M36" s="237"/>
      <c r="N36" s="237"/>
      <c r="O36" s="237"/>
      <c r="P36" s="7" t="s">
        <v>147</v>
      </c>
      <c r="Q36" s="92"/>
      <c r="R36" s="92"/>
      <c r="S36" s="92"/>
      <c r="T36" s="92"/>
      <c r="U36" s="92"/>
      <c r="V36" s="92"/>
    </row>
    <row r="37" spans="1:22">
      <c r="A37" s="5">
        <f t="shared" si="1"/>
        <v>37</v>
      </c>
      <c r="B37" s="185" t="s">
        <v>219</v>
      </c>
      <c r="C37" s="649"/>
      <c r="D37" s="238" t="s">
        <v>273</v>
      </c>
      <c r="E37" s="239"/>
      <c r="F37" s="239"/>
      <c r="G37" s="239"/>
      <c r="H37" s="239"/>
      <c r="I37" s="239"/>
      <c r="J37" s="239"/>
      <c r="K37" s="239"/>
      <c r="L37" s="239"/>
      <c r="M37" s="262">
        <f>IF(M21&gt;0,ROUND(1.5%*P88,2),0)</f>
        <v>0</v>
      </c>
      <c r="N37" s="262">
        <f>IF(AND(N21&gt;0,M37=0),ROUND(1.5%*P88,2),0)</f>
        <v>0</v>
      </c>
      <c r="O37" s="262">
        <f>IF(AND(O21&gt;0,SUM(M37:N37)=0),ROUND(1.5%*P88,2),0)</f>
        <v>0</v>
      </c>
      <c r="P37" s="7" t="s">
        <v>262</v>
      </c>
      <c r="Q37" s="92"/>
      <c r="R37" s="92"/>
      <c r="S37" s="92"/>
      <c r="T37" s="92"/>
      <c r="U37" s="92"/>
      <c r="V37" s="92"/>
    </row>
    <row r="38" spans="1:22">
      <c r="A38" s="5">
        <f t="shared" si="1"/>
        <v>38</v>
      </c>
      <c r="B38" s="186" t="s">
        <v>145</v>
      </c>
      <c r="C38" s="649"/>
      <c r="D38" s="236"/>
      <c r="E38" s="237"/>
      <c r="F38" s="237"/>
      <c r="G38" s="237"/>
      <c r="H38" s="237"/>
      <c r="I38" s="237"/>
      <c r="J38" s="237"/>
      <c r="K38" s="237"/>
      <c r="L38" s="237"/>
      <c r="M38" s="237"/>
      <c r="N38" s="237"/>
      <c r="O38" s="237"/>
      <c r="P38" s="89"/>
      <c r="Q38" s="92"/>
      <c r="R38" s="92"/>
      <c r="S38" s="92"/>
      <c r="T38" s="92"/>
      <c r="U38" s="92"/>
      <c r="V38" s="92"/>
    </row>
    <row r="39" spans="1:22">
      <c r="A39" s="5">
        <f t="shared" si="1"/>
        <v>39</v>
      </c>
      <c r="B39" s="186" t="s">
        <v>160</v>
      </c>
      <c r="C39" s="649"/>
      <c r="D39" s="236"/>
      <c r="E39" s="237"/>
      <c r="F39" s="237"/>
      <c r="G39" s="237"/>
      <c r="H39" s="237"/>
      <c r="I39" s="237"/>
      <c r="J39" s="237"/>
      <c r="K39" s="237"/>
      <c r="L39" s="237"/>
      <c r="M39" s="237"/>
      <c r="N39" s="237"/>
      <c r="O39" s="237"/>
      <c r="P39" s="89"/>
      <c r="Q39" s="92"/>
      <c r="R39" s="92"/>
      <c r="S39" s="92"/>
      <c r="T39" s="92"/>
      <c r="U39" s="92"/>
      <c r="V39" s="92"/>
    </row>
    <row r="40" spans="1:22">
      <c r="A40" s="5">
        <f t="shared" si="1"/>
        <v>40</v>
      </c>
      <c r="B40" s="186" t="s">
        <v>143</v>
      </c>
      <c r="C40" s="649"/>
      <c r="D40" s="236"/>
      <c r="E40" s="237"/>
      <c r="F40" s="237"/>
      <c r="G40" s="237"/>
      <c r="H40" s="237"/>
      <c r="I40" s="237"/>
      <c r="J40" s="237"/>
      <c r="K40" s="237"/>
      <c r="L40" s="237"/>
      <c r="M40" s="237"/>
      <c r="N40" s="237"/>
      <c r="O40" s="237"/>
      <c r="P40" s="89"/>
      <c r="Q40" s="92"/>
      <c r="R40" s="92"/>
      <c r="S40" s="92"/>
      <c r="T40" s="92"/>
      <c r="U40" s="92"/>
      <c r="V40" s="92"/>
    </row>
    <row r="41" spans="1:22">
      <c r="A41" s="5">
        <f t="shared" si="1"/>
        <v>41</v>
      </c>
      <c r="B41" s="186" t="s">
        <v>146</v>
      </c>
      <c r="C41" s="649"/>
      <c r="D41" s="236"/>
      <c r="E41" s="237"/>
      <c r="F41" s="237"/>
      <c r="G41" s="237"/>
      <c r="H41" s="237"/>
      <c r="I41" s="237"/>
      <c r="J41" s="237"/>
      <c r="K41" s="237"/>
      <c r="L41" s="237"/>
      <c r="M41" s="237"/>
      <c r="N41" s="237"/>
      <c r="O41" s="237"/>
      <c r="P41" s="89"/>
      <c r="Q41" s="92"/>
      <c r="R41" s="92"/>
      <c r="S41" s="92"/>
      <c r="T41" s="92"/>
      <c r="U41" s="92"/>
      <c r="V41" s="92"/>
    </row>
    <row r="42" spans="1:22">
      <c r="A42" s="5">
        <f t="shared" si="1"/>
        <v>42</v>
      </c>
      <c r="B42" s="187" t="s">
        <v>141</v>
      </c>
      <c r="C42" s="650"/>
      <c r="D42" s="240"/>
      <c r="E42" s="241"/>
      <c r="F42" s="241"/>
      <c r="G42" s="241"/>
      <c r="H42" s="241"/>
      <c r="I42" s="241"/>
      <c r="J42" s="241"/>
      <c r="K42" s="241"/>
      <c r="L42" s="241"/>
      <c r="M42" s="241"/>
      <c r="N42" s="241"/>
      <c r="O42" s="241"/>
      <c r="P42" s="149"/>
      <c r="Q42" s="92"/>
      <c r="R42" s="92"/>
      <c r="S42" s="92"/>
      <c r="T42" s="92"/>
      <c r="U42" s="92"/>
      <c r="V42" s="92"/>
    </row>
    <row r="43" spans="1:22" ht="32" customHeight="1">
      <c r="A43" s="128">
        <f t="shared" si="1"/>
        <v>43</v>
      </c>
      <c r="B43" s="188" t="s">
        <v>227</v>
      </c>
      <c r="C43" s="78" t="str">
        <f>C2</f>
        <v>jan-jul</v>
      </c>
      <c r="D43" s="214" t="str">
        <f>D2</f>
        <v>AUG 09</v>
      </c>
      <c r="E43" s="78" t="str">
        <f t="shared" ref="E43:O43" si="11">E2</f>
        <v>SEP09</v>
      </c>
      <c r="F43" s="78" t="str">
        <f t="shared" si="11"/>
        <v>OKT 09</v>
      </c>
      <c r="G43" s="78" t="str">
        <f t="shared" si="11"/>
        <v>NOV 09</v>
      </c>
      <c r="H43" s="78" t="str">
        <f t="shared" si="11"/>
        <v>DEC 09</v>
      </c>
      <c r="I43" s="78" t="str">
        <f t="shared" si="11"/>
        <v>JAN 10</v>
      </c>
      <c r="J43" s="78" t="str">
        <f t="shared" si="11"/>
        <v>FEB 10</v>
      </c>
      <c r="K43" s="78" t="str">
        <f t="shared" si="11"/>
        <v>MAR 10</v>
      </c>
      <c r="L43" s="78" t="str">
        <f t="shared" si="11"/>
        <v>APR 10</v>
      </c>
      <c r="M43" s="78" t="str">
        <f t="shared" si="11"/>
        <v>MAJ10</v>
      </c>
      <c r="N43" s="78" t="str">
        <f t="shared" si="11"/>
        <v>JUN 10</v>
      </c>
      <c r="O43" s="78" t="str">
        <f t="shared" si="11"/>
        <v>JUL 10</v>
      </c>
      <c r="P43" s="83" t="s">
        <v>122</v>
      </c>
      <c r="Q43" s="92"/>
      <c r="R43" s="92"/>
      <c r="S43" s="92"/>
      <c r="T43" s="92"/>
      <c r="U43" s="92"/>
      <c r="V43" s="92"/>
    </row>
    <row r="44" spans="1:22">
      <c r="A44" s="128">
        <f t="shared" si="1"/>
        <v>44</v>
      </c>
      <c r="B44" s="162" t="s">
        <v>94</v>
      </c>
      <c r="C44" s="228"/>
      <c r="D44" s="215">
        <f t="shared" ref="D44:O44" si="12">ROUND(IF(D9&gt;0,ROUND((ROUND(VLOOKUP(D4,basistabel,2,0)*D7,0))/12,2),0)*D9*D3,2)</f>
        <v>0</v>
      </c>
      <c r="E44" s="108">
        <f t="shared" si="12"/>
        <v>0</v>
      </c>
      <c r="F44" s="108">
        <f t="shared" si="12"/>
        <v>0</v>
      </c>
      <c r="G44" s="108">
        <f t="shared" si="12"/>
        <v>0</v>
      </c>
      <c r="H44" s="108">
        <f t="shared" si="12"/>
        <v>0</v>
      </c>
      <c r="I44" s="108">
        <f t="shared" si="12"/>
        <v>0</v>
      </c>
      <c r="J44" s="108">
        <f>ROUND(IF(J9&gt;0,ROUND((ROUND(VLOOKUP(J4,basistabel,2,0)*J7,0))/12,2),0)*J9*J3,2)</f>
        <v>9418.4699999999993</v>
      </c>
      <c r="K44" s="108">
        <f t="shared" si="12"/>
        <v>17581.14</v>
      </c>
      <c r="L44" s="108">
        <f t="shared" si="12"/>
        <v>17772.54</v>
      </c>
      <c r="M44" s="108">
        <f t="shared" si="12"/>
        <v>17772.54</v>
      </c>
      <c r="N44" s="108">
        <f t="shared" si="12"/>
        <v>17772.54</v>
      </c>
      <c r="O44" s="108">
        <f t="shared" si="12"/>
        <v>17772.54</v>
      </c>
      <c r="P44" s="122">
        <f t="shared" ref="P44:P81" si="13">SUM(D44:O44)</f>
        <v>98089.770000000019</v>
      </c>
      <c r="Q44" s="92"/>
      <c r="R44" s="92"/>
      <c r="S44" s="92"/>
      <c r="T44" s="92"/>
      <c r="U44" s="92"/>
      <c r="V44" s="92"/>
    </row>
    <row r="45" spans="1:22">
      <c r="A45" s="23">
        <f>A44+1</f>
        <v>45</v>
      </c>
      <c r="B45" s="163" t="s">
        <v>95</v>
      </c>
      <c r="C45" s="228"/>
      <c r="D45" s="216">
        <f t="shared" ref="D45:O45" si="14">ROUND(IF(D9&gt;0,ROUND((VLOOKUP(D4,omraadetabel,D8,0))/12,2),0)*D9*D3,2)</f>
        <v>0</v>
      </c>
      <c r="E45" s="110">
        <f t="shared" si="14"/>
        <v>0</v>
      </c>
      <c r="F45" s="110">
        <f t="shared" si="14"/>
        <v>0</v>
      </c>
      <c r="G45" s="110">
        <f t="shared" si="14"/>
        <v>0</v>
      </c>
      <c r="H45" s="110">
        <f t="shared" si="14"/>
        <v>0</v>
      </c>
      <c r="I45" s="110">
        <f t="shared" si="14"/>
        <v>0</v>
      </c>
      <c r="J45" s="110">
        <f t="shared" si="14"/>
        <v>160.71</v>
      </c>
      <c r="K45" s="110">
        <f t="shared" si="14"/>
        <v>300</v>
      </c>
      <c r="L45" s="110">
        <f t="shared" si="14"/>
        <v>300</v>
      </c>
      <c r="M45" s="110">
        <f t="shared" si="14"/>
        <v>300</v>
      </c>
      <c r="N45" s="110">
        <f t="shared" si="14"/>
        <v>300</v>
      </c>
      <c r="O45" s="110">
        <f t="shared" si="14"/>
        <v>300</v>
      </c>
      <c r="P45" s="111">
        <f t="shared" si="13"/>
        <v>1660.71</v>
      </c>
      <c r="Q45" s="92"/>
      <c r="R45" s="92"/>
      <c r="S45" s="92"/>
      <c r="T45" s="92"/>
      <c r="U45" s="92"/>
      <c r="V45" s="92"/>
    </row>
    <row r="46" spans="1:22">
      <c r="A46" s="23">
        <f t="shared" ref="A46:A81" si="15">A45+1</f>
        <v>46</v>
      </c>
      <c r="B46" s="163" t="s">
        <v>183</v>
      </c>
      <c r="C46" s="228"/>
      <c r="D46" s="216">
        <f t="shared" ref="D46:O46" si="16">ROUND(SUM(D102:D105)*D3,2)</f>
        <v>0</v>
      </c>
      <c r="E46" s="110">
        <f t="shared" si="16"/>
        <v>0</v>
      </c>
      <c r="F46" s="110">
        <f t="shared" si="16"/>
        <v>0</v>
      </c>
      <c r="G46" s="110">
        <f t="shared" si="16"/>
        <v>0</v>
      </c>
      <c r="H46" s="110">
        <f t="shared" si="16"/>
        <v>0</v>
      </c>
      <c r="I46" s="110">
        <f t="shared" si="16"/>
        <v>0</v>
      </c>
      <c r="J46" s="110">
        <f t="shared" si="16"/>
        <v>653.22</v>
      </c>
      <c r="K46" s="110">
        <f t="shared" si="16"/>
        <v>1219.3499999999999</v>
      </c>
      <c r="L46" s="110">
        <f t="shared" si="16"/>
        <v>1232.55</v>
      </c>
      <c r="M46" s="110">
        <f t="shared" si="16"/>
        <v>1232.55</v>
      </c>
      <c r="N46" s="110">
        <f t="shared" si="16"/>
        <v>1232.55</v>
      </c>
      <c r="O46" s="110">
        <f t="shared" si="16"/>
        <v>1232.55</v>
      </c>
      <c r="P46" s="111">
        <f t="shared" si="13"/>
        <v>6802.77</v>
      </c>
      <c r="Q46" s="92"/>
      <c r="R46" s="92"/>
      <c r="S46" s="92"/>
      <c r="T46" s="92"/>
      <c r="U46" s="92"/>
      <c r="V46" s="92"/>
    </row>
    <row r="47" spans="1:22">
      <c r="A47" s="23">
        <f t="shared" si="15"/>
        <v>47</v>
      </c>
      <c r="B47" s="163" t="s">
        <v>184</v>
      </c>
      <c r="C47" s="228"/>
      <c r="D47" s="216">
        <f t="shared" ref="D47:O47" si="17">ROUND(D11*D$7*D3/12,2)</f>
        <v>0</v>
      </c>
      <c r="E47" s="110">
        <f t="shared" si="17"/>
        <v>0</v>
      </c>
      <c r="F47" s="110">
        <f t="shared" si="17"/>
        <v>0</v>
      </c>
      <c r="G47" s="110">
        <f t="shared" si="17"/>
        <v>0</v>
      </c>
      <c r="H47" s="110">
        <f t="shared" si="17"/>
        <v>0</v>
      </c>
      <c r="I47" s="110">
        <f t="shared" si="17"/>
        <v>0</v>
      </c>
      <c r="J47" s="110">
        <f t="shared" si="17"/>
        <v>0</v>
      </c>
      <c r="K47" s="110">
        <f t="shared" si="17"/>
        <v>0</v>
      </c>
      <c r="L47" s="110">
        <f t="shared" si="17"/>
        <v>0</v>
      </c>
      <c r="M47" s="110">
        <f t="shared" si="17"/>
        <v>0</v>
      </c>
      <c r="N47" s="110">
        <f t="shared" si="17"/>
        <v>0</v>
      </c>
      <c r="O47" s="110">
        <f t="shared" si="17"/>
        <v>0</v>
      </c>
      <c r="P47" s="111">
        <f t="shared" si="13"/>
        <v>0</v>
      </c>
      <c r="Q47" s="92"/>
      <c r="R47" s="92"/>
      <c r="S47" s="92"/>
      <c r="T47" s="92"/>
      <c r="U47" s="92"/>
      <c r="V47" s="92"/>
    </row>
    <row r="48" spans="1:22">
      <c r="A48" s="23">
        <f t="shared" si="15"/>
        <v>48</v>
      </c>
      <c r="B48" s="163" t="s">
        <v>185</v>
      </c>
      <c r="C48" s="228"/>
      <c r="D48" s="216">
        <f t="shared" ref="D48:O48" si="18">ROUND(D12*D$7*D3/12,2)</f>
        <v>0</v>
      </c>
      <c r="E48" s="110">
        <f t="shared" si="18"/>
        <v>0</v>
      </c>
      <c r="F48" s="110">
        <f t="shared" si="18"/>
        <v>0</v>
      </c>
      <c r="G48" s="110">
        <f t="shared" si="18"/>
        <v>0</v>
      </c>
      <c r="H48" s="110">
        <f t="shared" si="18"/>
        <v>0</v>
      </c>
      <c r="I48" s="110">
        <f t="shared" si="18"/>
        <v>0</v>
      </c>
      <c r="J48" s="110">
        <f t="shared" si="18"/>
        <v>0</v>
      </c>
      <c r="K48" s="110">
        <f t="shared" si="18"/>
        <v>0</v>
      </c>
      <c r="L48" s="110">
        <f t="shared" si="18"/>
        <v>0</v>
      </c>
      <c r="M48" s="110">
        <f t="shared" si="18"/>
        <v>0</v>
      </c>
      <c r="N48" s="110">
        <f t="shared" si="18"/>
        <v>0</v>
      </c>
      <c r="O48" s="110">
        <f t="shared" si="18"/>
        <v>0</v>
      </c>
      <c r="P48" s="111">
        <f t="shared" si="13"/>
        <v>0</v>
      </c>
      <c r="Q48" s="92"/>
      <c r="R48" s="92"/>
      <c r="S48" s="92"/>
      <c r="T48" s="92"/>
      <c r="U48" s="92"/>
      <c r="V48" s="92"/>
    </row>
    <row r="49" spans="1:22">
      <c r="A49" s="23">
        <f t="shared" si="15"/>
        <v>49</v>
      </c>
      <c r="B49" s="163" t="s">
        <v>186</v>
      </c>
      <c r="C49" s="228"/>
      <c r="D49" s="216">
        <f t="shared" ref="D49:O49" si="19">ROUND(D13*D$7/12*D3,2)</f>
        <v>0</v>
      </c>
      <c r="E49" s="110">
        <f t="shared" si="19"/>
        <v>0</v>
      </c>
      <c r="F49" s="110">
        <f t="shared" si="19"/>
        <v>0</v>
      </c>
      <c r="G49" s="110">
        <f t="shared" si="19"/>
        <v>0</v>
      </c>
      <c r="H49" s="110">
        <f t="shared" si="19"/>
        <v>0</v>
      </c>
      <c r="I49" s="110">
        <f t="shared" si="19"/>
        <v>0</v>
      </c>
      <c r="J49" s="110">
        <f t="shared" si="19"/>
        <v>0</v>
      </c>
      <c r="K49" s="110">
        <f t="shared" si="19"/>
        <v>0</v>
      </c>
      <c r="L49" s="110">
        <f t="shared" si="19"/>
        <v>0</v>
      </c>
      <c r="M49" s="110">
        <f t="shared" si="19"/>
        <v>0</v>
      </c>
      <c r="N49" s="110">
        <f t="shared" si="19"/>
        <v>0</v>
      </c>
      <c r="O49" s="110">
        <f t="shared" si="19"/>
        <v>0</v>
      </c>
      <c r="P49" s="111">
        <f t="shared" si="13"/>
        <v>0</v>
      </c>
      <c r="Q49" s="92"/>
      <c r="R49" s="92"/>
      <c r="S49" s="92"/>
      <c r="T49" s="92"/>
      <c r="U49" s="92"/>
      <c r="V49" s="92"/>
    </row>
    <row r="50" spans="1:22">
      <c r="A50" s="23">
        <f t="shared" si="15"/>
        <v>50</v>
      </c>
      <c r="B50" s="163" t="s">
        <v>187</v>
      </c>
      <c r="C50" s="228"/>
      <c r="D50" s="216">
        <f t="shared" ref="D50:O50" si="20">ROUND(D14*D$7/12*D3,2)</f>
        <v>0</v>
      </c>
      <c r="E50" s="110">
        <f t="shared" si="20"/>
        <v>0</v>
      </c>
      <c r="F50" s="110">
        <f t="shared" si="20"/>
        <v>0</v>
      </c>
      <c r="G50" s="110">
        <f t="shared" si="20"/>
        <v>0</v>
      </c>
      <c r="H50" s="110">
        <f t="shared" si="20"/>
        <v>0</v>
      </c>
      <c r="I50" s="110">
        <f t="shared" si="20"/>
        <v>0</v>
      </c>
      <c r="J50" s="110">
        <f t="shared" si="20"/>
        <v>0</v>
      </c>
      <c r="K50" s="110">
        <f t="shared" si="20"/>
        <v>0</v>
      </c>
      <c r="L50" s="110">
        <f t="shared" si="20"/>
        <v>0</v>
      </c>
      <c r="M50" s="110">
        <f t="shared" si="20"/>
        <v>0</v>
      </c>
      <c r="N50" s="110">
        <f t="shared" si="20"/>
        <v>0</v>
      </c>
      <c r="O50" s="110">
        <f t="shared" si="20"/>
        <v>0</v>
      </c>
      <c r="P50" s="111">
        <f t="shared" si="13"/>
        <v>0</v>
      </c>
      <c r="Q50" s="92"/>
      <c r="R50" s="92"/>
      <c r="S50" s="92"/>
      <c r="T50" s="92"/>
      <c r="U50" s="92"/>
      <c r="V50" s="92"/>
    </row>
    <row r="51" spans="1:22">
      <c r="A51" s="23">
        <f t="shared" si="15"/>
        <v>51</v>
      </c>
      <c r="B51" s="163" t="s">
        <v>188</v>
      </c>
      <c r="C51" s="228"/>
      <c r="D51" s="216">
        <f t="shared" ref="D51:O51" si="21">ROUND(D15*D$7/12*D3,2)</f>
        <v>0</v>
      </c>
      <c r="E51" s="110">
        <f t="shared" si="21"/>
        <v>0</v>
      </c>
      <c r="F51" s="110">
        <f t="shared" si="21"/>
        <v>0</v>
      </c>
      <c r="G51" s="110">
        <f t="shared" si="21"/>
        <v>0</v>
      </c>
      <c r="H51" s="110">
        <f t="shared" si="21"/>
        <v>0</v>
      </c>
      <c r="I51" s="110">
        <f t="shared" si="21"/>
        <v>0</v>
      </c>
      <c r="J51" s="110">
        <f t="shared" si="21"/>
        <v>0</v>
      </c>
      <c r="K51" s="110">
        <f t="shared" si="21"/>
        <v>0</v>
      </c>
      <c r="L51" s="110">
        <f t="shared" si="21"/>
        <v>0</v>
      </c>
      <c r="M51" s="110">
        <f t="shared" si="21"/>
        <v>0</v>
      </c>
      <c r="N51" s="110">
        <f t="shared" si="21"/>
        <v>0</v>
      </c>
      <c r="O51" s="110">
        <f t="shared" si="21"/>
        <v>0</v>
      </c>
      <c r="P51" s="111">
        <f t="shared" si="13"/>
        <v>0</v>
      </c>
      <c r="Q51" s="92"/>
      <c r="R51" s="92"/>
      <c r="S51" s="92"/>
      <c r="T51" s="92"/>
      <c r="U51" s="92"/>
      <c r="V51" s="92"/>
    </row>
    <row r="52" spans="1:22">
      <c r="A52" s="23">
        <f t="shared" si="15"/>
        <v>52</v>
      </c>
      <c r="B52" s="163" t="s">
        <v>189</v>
      </c>
      <c r="C52" s="228"/>
      <c r="D52" s="216">
        <f t="shared" ref="D52:O52" si="22">ROUND(D16*D$7*D$9/12*D3,2)</f>
        <v>0</v>
      </c>
      <c r="E52" s="110">
        <f t="shared" si="22"/>
        <v>0</v>
      </c>
      <c r="F52" s="110">
        <f t="shared" si="22"/>
        <v>0</v>
      </c>
      <c r="G52" s="110">
        <f t="shared" si="22"/>
        <v>0</v>
      </c>
      <c r="H52" s="110">
        <f t="shared" si="22"/>
        <v>0</v>
      </c>
      <c r="I52" s="110">
        <f t="shared" si="22"/>
        <v>0</v>
      </c>
      <c r="J52" s="110">
        <f t="shared" si="22"/>
        <v>555.66</v>
      </c>
      <c r="K52" s="110">
        <f t="shared" si="22"/>
        <v>1037.24</v>
      </c>
      <c r="L52" s="110">
        <f t="shared" si="22"/>
        <v>1048.53</v>
      </c>
      <c r="M52" s="110">
        <f t="shared" si="22"/>
        <v>1048.53</v>
      </c>
      <c r="N52" s="110">
        <f t="shared" si="22"/>
        <v>1048.53</v>
      </c>
      <c r="O52" s="110">
        <f t="shared" si="22"/>
        <v>1048.53</v>
      </c>
      <c r="P52" s="111">
        <f t="shared" si="13"/>
        <v>5787.0199999999995</v>
      </c>
      <c r="Q52" s="92"/>
      <c r="R52" s="92"/>
      <c r="S52" s="92"/>
      <c r="T52" s="92"/>
      <c r="U52" s="92"/>
      <c r="V52" s="92"/>
    </row>
    <row r="53" spans="1:22">
      <c r="A53" s="23">
        <f t="shared" si="15"/>
        <v>53</v>
      </c>
      <c r="B53" s="163" t="s">
        <v>190</v>
      </c>
      <c r="C53" s="228"/>
      <c r="D53" s="216">
        <f t="shared" ref="D53:O53" si="23">ROUND(D17*D$7*D$9/12*D3,2)</f>
        <v>0</v>
      </c>
      <c r="E53" s="110">
        <f t="shared" si="23"/>
        <v>0</v>
      </c>
      <c r="F53" s="110">
        <f t="shared" si="23"/>
        <v>0</v>
      </c>
      <c r="G53" s="110">
        <f t="shared" si="23"/>
        <v>0</v>
      </c>
      <c r="H53" s="110">
        <f t="shared" si="23"/>
        <v>0</v>
      </c>
      <c r="I53" s="110">
        <f t="shared" si="23"/>
        <v>0</v>
      </c>
      <c r="J53" s="110">
        <f t="shared" si="23"/>
        <v>0</v>
      </c>
      <c r="K53" s="110">
        <f t="shared" si="23"/>
        <v>0</v>
      </c>
      <c r="L53" s="110">
        <f t="shared" si="23"/>
        <v>0</v>
      </c>
      <c r="M53" s="110">
        <f t="shared" si="23"/>
        <v>0</v>
      </c>
      <c r="N53" s="110">
        <f t="shared" si="23"/>
        <v>0</v>
      </c>
      <c r="O53" s="110">
        <f t="shared" si="23"/>
        <v>0</v>
      </c>
      <c r="P53" s="111">
        <f t="shared" si="13"/>
        <v>0</v>
      </c>
      <c r="Q53" s="92"/>
      <c r="R53" s="92"/>
      <c r="S53" s="92"/>
      <c r="T53" s="92"/>
      <c r="U53" s="92"/>
      <c r="V53" s="92"/>
    </row>
    <row r="54" spans="1:22">
      <c r="A54" s="23">
        <f t="shared" si="15"/>
        <v>54</v>
      </c>
      <c r="B54" s="163" t="s">
        <v>125</v>
      </c>
      <c r="C54" s="228"/>
      <c r="D54" s="216">
        <f t="shared" ref="D54:O54" si="24">ROUND(D18*D$7*D$9/12*D3,2)</f>
        <v>0</v>
      </c>
      <c r="E54" s="110">
        <f t="shared" si="24"/>
        <v>0</v>
      </c>
      <c r="F54" s="110">
        <f t="shared" si="24"/>
        <v>0</v>
      </c>
      <c r="G54" s="110">
        <f t="shared" si="24"/>
        <v>0</v>
      </c>
      <c r="H54" s="110">
        <f t="shared" si="24"/>
        <v>0</v>
      </c>
      <c r="I54" s="110">
        <f t="shared" si="24"/>
        <v>0</v>
      </c>
      <c r="J54" s="110">
        <f t="shared" si="24"/>
        <v>0</v>
      </c>
      <c r="K54" s="110">
        <f t="shared" si="24"/>
        <v>0</v>
      </c>
      <c r="L54" s="110">
        <f t="shared" si="24"/>
        <v>0</v>
      </c>
      <c r="M54" s="110">
        <f t="shared" si="24"/>
        <v>0</v>
      </c>
      <c r="N54" s="110">
        <f t="shared" si="24"/>
        <v>0</v>
      </c>
      <c r="O54" s="110">
        <f t="shared" si="24"/>
        <v>0</v>
      </c>
      <c r="P54" s="111">
        <f t="shared" si="13"/>
        <v>0</v>
      </c>
      <c r="Q54" s="92"/>
      <c r="R54" s="92"/>
      <c r="S54" s="92"/>
      <c r="T54" s="92"/>
      <c r="U54" s="92"/>
      <c r="V54" s="92"/>
    </row>
    <row r="55" spans="1:22">
      <c r="A55" s="23">
        <f t="shared" si="15"/>
        <v>55</v>
      </c>
      <c r="B55" s="163" t="s">
        <v>116</v>
      </c>
      <c r="C55" s="228"/>
      <c r="D55" s="110">
        <f t="shared" ref="D55:O55" si="25">ROUND(IF(OR(D$5="A",D$5="B"),MAX(235800+32300*(LEFT(D$4)="L")-VLOOKUP(D4,basistabel,2,0)-SUM(D$15:D$18),0),0)/12*D$7*D$9*D3,2)</f>
        <v>0</v>
      </c>
      <c r="E55" s="110">
        <f t="shared" si="25"/>
        <v>0</v>
      </c>
      <c r="F55" s="110">
        <f t="shared" si="25"/>
        <v>0</v>
      </c>
      <c r="G55" s="110">
        <f t="shared" si="25"/>
        <v>0</v>
      </c>
      <c r="H55" s="110">
        <f t="shared" si="25"/>
        <v>0</v>
      </c>
      <c r="I55" s="110">
        <f t="shared" si="25"/>
        <v>0</v>
      </c>
      <c r="J55" s="110">
        <f t="shared" si="25"/>
        <v>0</v>
      </c>
      <c r="K55" s="110">
        <f t="shared" si="25"/>
        <v>0</v>
      </c>
      <c r="L55" s="110">
        <f t="shared" si="25"/>
        <v>0</v>
      </c>
      <c r="M55" s="110">
        <f t="shared" si="25"/>
        <v>0</v>
      </c>
      <c r="N55" s="110">
        <f t="shared" si="25"/>
        <v>0</v>
      </c>
      <c r="O55" s="110">
        <f t="shared" si="25"/>
        <v>0</v>
      </c>
      <c r="P55" s="111">
        <f t="shared" si="13"/>
        <v>0</v>
      </c>
      <c r="Q55" s="92"/>
      <c r="R55" s="92"/>
      <c r="S55" s="92"/>
      <c r="T55" s="92"/>
      <c r="U55" s="92"/>
      <c r="V55" s="92"/>
    </row>
    <row r="56" spans="1:22">
      <c r="A56" s="23">
        <f t="shared" si="15"/>
        <v>56</v>
      </c>
      <c r="B56" s="163" t="s">
        <v>109</v>
      </c>
      <c r="C56" s="228"/>
      <c r="D56" s="110">
        <f t="shared" ref="D56:K56" si="26">MAX(ROUND((IF(RIGHT(D4)="1",4000)+IF(OR(RIGHT(D4)="2",RIGHT(D4)="3"),6000))*D7/12*D9*D3,2)-D55,0)*(D5&lt;&gt;"B")</f>
        <v>0</v>
      </c>
      <c r="E56" s="110">
        <f t="shared" si="26"/>
        <v>0</v>
      </c>
      <c r="F56" s="110">
        <f t="shared" si="26"/>
        <v>0</v>
      </c>
      <c r="G56" s="110">
        <f t="shared" si="26"/>
        <v>0</v>
      </c>
      <c r="H56" s="110">
        <f t="shared" si="26"/>
        <v>0</v>
      </c>
      <c r="I56" s="110">
        <f t="shared" si="26"/>
        <v>0</v>
      </c>
      <c r="J56" s="110">
        <f t="shared" si="26"/>
        <v>185.22</v>
      </c>
      <c r="K56" s="110">
        <f t="shared" si="26"/>
        <v>345.75</v>
      </c>
      <c r="L56" s="110">
        <f>MAX(ROUND((IF(RIGHT(L4)="1",4000)+IF(OR(RIGHT(L4)="2",RIGHT(L4)="3"),6000))*L7/12*L9*L3,2)-L55,0)*(L5&lt;&gt;"B")</f>
        <v>349.51</v>
      </c>
      <c r="M56" s="110">
        <f>MAX(ROUND((IF(RIGHT(M4)="1",4000)+IF(OR(RIGHT(M4)="2",RIGHT(M4)="3"),6000))*M7/12*M9*M3,2)-M55,0)*(M5&lt;&gt;"B")</f>
        <v>349.51</v>
      </c>
      <c r="N56" s="110">
        <f>MAX(ROUND((IF(RIGHT(N4)="1",4000)+IF(OR(RIGHT(N4)="2",RIGHT(N4)="3"),6000))*N7/12*N9*N3,2)-N55,0)*(N5&lt;&gt;"B")</f>
        <v>349.51</v>
      </c>
      <c r="O56" s="110">
        <f>MAX(ROUND((IF(RIGHT(O4)="1",4000)+IF(OR(RIGHT(O4)="2",RIGHT(O4)="3"),6000))*O7/12*O9*O3,2)-O55,0)*(O5&lt;&gt;"B")</f>
        <v>349.51</v>
      </c>
      <c r="P56" s="111">
        <f t="shared" si="13"/>
        <v>1929.01</v>
      </c>
      <c r="Q56" s="92"/>
      <c r="R56" s="92"/>
      <c r="S56" s="92"/>
      <c r="T56" s="92"/>
      <c r="U56" s="92"/>
      <c r="V56" s="92"/>
    </row>
    <row r="57" spans="1:22">
      <c r="A57" s="23">
        <f t="shared" si="15"/>
        <v>57</v>
      </c>
      <c r="B57" s="163" t="s">
        <v>110</v>
      </c>
      <c r="C57" s="228"/>
      <c r="D57" s="110">
        <f>MAX(ROUND((IF(RIGHT(D4)="1",4000)+IF(OR(RIGHT(D4)="2",RIGHT(D4)="3"),6000))*D7/12*D9*D3,2)-D55,0)*(D5="B")</f>
        <v>0</v>
      </c>
      <c r="E57" s="110">
        <f t="shared" ref="E57:O57" si="27">MAX(ROUND((IF(RIGHT(E4)="1",4000)+IF(OR(RIGHT(E4)="2",RIGHT(E4)="3"),6000))*E7/12*E9*E3,2)-E55,0)*(E5="B")</f>
        <v>0</v>
      </c>
      <c r="F57" s="110">
        <f t="shared" si="27"/>
        <v>0</v>
      </c>
      <c r="G57" s="110">
        <f t="shared" si="27"/>
        <v>0</v>
      </c>
      <c r="H57" s="110">
        <f t="shared" si="27"/>
        <v>0</v>
      </c>
      <c r="I57" s="110">
        <f t="shared" si="27"/>
        <v>0</v>
      </c>
      <c r="J57" s="110">
        <f t="shared" si="27"/>
        <v>0</v>
      </c>
      <c r="K57" s="110">
        <f t="shared" si="27"/>
        <v>0</v>
      </c>
      <c r="L57" s="110">
        <f t="shared" si="27"/>
        <v>0</v>
      </c>
      <c r="M57" s="110">
        <f t="shared" si="27"/>
        <v>0</v>
      </c>
      <c r="N57" s="110">
        <f t="shared" si="27"/>
        <v>0</v>
      </c>
      <c r="O57" s="110">
        <f t="shared" si="27"/>
        <v>0</v>
      </c>
      <c r="P57" s="111">
        <f t="shared" si="13"/>
        <v>0</v>
      </c>
      <c r="Q57" s="92"/>
      <c r="R57" s="92"/>
      <c r="S57" s="92"/>
      <c r="T57" s="92"/>
      <c r="U57" s="92"/>
      <c r="V57" s="92"/>
    </row>
    <row r="58" spans="1:22">
      <c r="A58" s="23">
        <f t="shared" si="15"/>
        <v>58</v>
      </c>
      <c r="B58" s="163" t="s">
        <v>191</v>
      </c>
      <c r="C58" s="228"/>
      <c r="D58" s="216">
        <f t="shared" ref="D58:O58" si="28">IF(D44&gt;0,ROUND(IF(D$9&gt;=0.5,540*D$7,270*D$7)/12*D3,2),0)</f>
        <v>0</v>
      </c>
      <c r="E58" s="110">
        <f t="shared" si="28"/>
        <v>0</v>
      </c>
      <c r="F58" s="110">
        <f t="shared" si="28"/>
        <v>0</v>
      </c>
      <c r="G58" s="110">
        <f t="shared" si="28"/>
        <v>0</v>
      </c>
      <c r="H58" s="110">
        <f t="shared" si="28"/>
        <v>0</v>
      </c>
      <c r="I58" s="110">
        <f t="shared" si="28"/>
        <v>0</v>
      </c>
      <c r="J58" s="110">
        <f t="shared" si="28"/>
        <v>31.26</v>
      </c>
      <c r="K58" s="110">
        <f t="shared" si="28"/>
        <v>58.34</v>
      </c>
      <c r="L58" s="110">
        <f t="shared" si="28"/>
        <v>58.98</v>
      </c>
      <c r="M58" s="110">
        <f t="shared" si="28"/>
        <v>58.98</v>
      </c>
      <c r="N58" s="110">
        <f t="shared" si="28"/>
        <v>58.98</v>
      </c>
      <c r="O58" s="110">
        <f t="shared" si="28"/>
        <v>58.98</v>
      </c>
      <c r="P58" s="111">
        <f t="shared" si="13"/>
        <v>325.52000000000004</v>
      </c>
      <c r="Q58" s="92"/>
      <c r="R58" s="92"/>
      <c r="S58" s="92"/>
      <c r="T58" s="92"/>
      <c r="U58" s="92"/>
      <c r="V58" s="92"/>
    </row>
    <row r="59" spans="1:22">
      <c r="A59" s="23">
        <f t="shared" si="15"/>
        <v>59</v>
      </c>
      <c r="B59" s="163" t="s">
        <v>171</v>
      </c>
      <c r="C59" s="228"/>
      <c r="D59" s="216">
        <f t="shared" ref="D59:O59" si="29">D20*D3</f>
        <v>0</v>
      </c>
      <c r="E59" s="110">
        <f t="shared" si="29"/>
        <v>0</v>
      </c>
      <c r="F59" s="110">
        <f t="shared" si="29"/>
        <v>0</v>
      </c>
      <c r="G59" s="110">
        <f t="shared" si="29"/>
        <v>0</v>
      </c>
      <c r="H59" s="110">
        <f t="shared" si="29"/>
        <v>0</v>
      </c>
      <c r="I59" s="110">
        <f t="shared" si="29"/>
        <v>0</v>
      </c>
      <c r="J59" s="110">
        <f t="shared" si="29"/>
        <v>0</v>
      </c>
      <c r="K59" s="110">
        <f t="shared" si="29"/>
        <v>0</v>
      </c>
      <c r="L59" s="110">
        <f t="shared" si="29"/>
        <v>0</v>
      </c>
      <c r="M59" s="110">
        <f t="shared" si="29"/>
        <v>0</v>
      </c>
      <c r="N59" s="110">
        <f t="shared" si="29"/>
        <v>0</v>
      </c>
      <c r="O59" s="110">
        <f t="shared" si="29"/>
        <v>0</v>
      </c>
      <c r="P59" s="111">
        <f t="shared" si="13"/>
        <v>0</v>
      </c>
      <c r="Q59" s="92"/>
      <c r="R59" s="92"/>
      <c r="S59" s="92"/>
      <c r="T59" s="92"/>
      <c r="U59" s="92"/>
      <c r="V59" s="92"/>
    </row>
    <row r="60" spans="1:22">
      <c r="A60" s="23">
        <f t="shared" si="15"/>
        <v>60</v>
      </c>
      <c r="B60" s="163" t="s">
        <v>172</v>
      </c>
      <c r="C60" s="228"/>
      <c r="D60" s="216">
        <f t="shared" ref="D60:O60" si="30">IF(D9&gt;=0.4054,108.35*D3,0)</f>
        <v>0</v>
      </c>
      <c r="E60" s="110">
        <f t="shared" si="30"/>
        <v>0</v>
      </c>
      <c r="F60" s="110">
        <f t="shared" si="30"/>
        <v>0</v>
      </c>
      <c r="G60" s="110">
        <f t="shared" si="30"/>
        <v>0</v>
      </c>
      <c r="H60" s="110">
        <f t="shared" si="30"/>
        <v>0</v>
      </c>
      <c r="I60" s="110">
        <f t="shared" si="30"/>
        <v>0</v>
      </c>
      <c r="J60" s="110">
        <f t="shared" si="30"/>
        <v>58.044642857142854</v>
      </c>
      <c r="K60" s="110">
        <f t="shared" si="30"/>
        <v>108.35</v>
      </c>
      <c r="L60" s="110">
        <f t="shared" si="30"/>
        <v>108.35</v>
      </c>
      <c r="M60" s="110">
        <f t="shared" si="30"/>
        <v>108.35</v>
      </c>
      <c r="N60" s="110">
        <f t="shared" si="30"/>
        <v>108.35</v>
      </c>
      <c r="O60" s="110">
        <f t="shared" si="30"/>
        <v>108.35</v>
      </c>
      <c r="P60" s="111">
        <f t="shared" si="13"/>
        <v>599.79464285714289</v>
      </c>
      <c r="Q60" s="92"/>
      <c r="R60" s="92"/>
      <c r="S60" s="92"/>
      <c r="T60" s="92"/>
      <c r="U60" s="92"/>
      <c r="V60" s="92"/>
    </row>
    <row r="61" spans="1:22">
      <c r="A61" s="23">
        <f t="shared" si="15"/>
        <v>61</v>
      </c>
      <c r="B61" s="163" t="s">
        <v>266</v>
      </c>
      <c r="C61" s="228"/>
      <c r="D61" s="216">
        <f>-(MAX(0,MIN(D21,D22))+D25)*4.62%*SUM(D44:D60)</f>
        <v>0</v>
      </c>
      <c r="E61" s="216">
        <f t="shared" ref="E61:O61" si="31">-(MAX(0,MIN(E21,E22))+E25)*4.62%*SUM(E44:E60)</f>
        <v>0</v>
      </c>
      <c r="F61" s="216">
        <f t="shared" si="31"/>
        <v>0</v>
      </c>
      <c r="G61" s="216">
        <f t="shared" si="31"/>
        <v>0</v>
      </c>
      <c r="H61" s="216">
        <f t="shared" si="31"/>
        <v>0</v>
      </c>
      <c r="I61" s="216">
        <f t="shared" si="31"/>
        <v>0</v>
      </c>
      <c r="J61" s="216">
        <f t="shared" si="31"/>
        <v>0</v>
      </c>
      <c r="K61" s="216">
        <f t="shared" si="31"/>
        <v>0</v>
      </c>
      <c r="L61" s="216">
        <f t="shared" si="31"/>
        <v>0</v>
      </c>
      <c r="M61" s="216">
        <f t="shared" si="31"/>
        <v>-1928.4305039999995</v>
      </c>
      <c r="N61" s="216">
        <f t="shared" si="31"/>
        <v>0</v>
      </c>
      <c r="O61" s="216">
        <f t="shared" si="31"/>
        <v>-19284.305039999996</v>
      </c>
      <c r="P61" s="111">
        <f t="shared" si="13"/>
        <v>-21212.735543999996</v>
      </c>
      <c r="Q61" s="92"/>
      <c r="R61" s="92"/>
      <c r="S61" s="92"/>
      <c r="T61" s="92"/>
      <c r="U61" s="92"/>
      <c r="V61" s="92"/>
    </row>
    <row r="62" spans="1:22">
      <c r="A62" s="23">
        <f t="shared" si="15"/>
        <v>62</v>
      </c>
      <c r="B62" s="163" t="s">
        <v>205</v>
      </c>
      <c r="C62" s="228"/>
      <c r="D62" s="216">
        <f>(D21-D22)*4.62%*(D23-D9)*(D3=1)*IF(D9&gt;0,(D44+D45+D52+D53+D54+D55+D56+D57)/D9,0)*(D23&gt;0)</f>
        <v>0</v>
      </c>
      <c r="E62" s="110">
        <f>(E21-E22)*4.62%*(E23-E9)*(E3=1)*IF(E9&gt;0,(E44+E45+E52+E53+E54+E55+E56+E57)/E9,0)*(E23&gt;0)</f>
        <v>0</v>
      </c>
      <c r="F62" s="110">
        <f>(F21-F22)*4.62%*(F23-F9)*(F3=1)*IF(F9&gt;0,(F44+F45+F52+F53+F54+F55+F56+F57)/F9,0)*(F23&gt;0)</f>
        <v>0</v>
      </c>
      <c r="G62" s="110">
        <f>(G21-G22)*4.62%*(G23-G9)*(G3=1)*IF(G9&gt;0,(G44+G45+G52+G53+G54+G55+G56+G57)/G9,0)*(G23&gt;0)</f>
        <v>0</v>
      </c>
      <c r="H62" s="110">
        <f>(H21-H22)*4.62%*(H23-H9)*(H3=1)*IF(H9&gt;0,(H44+H45+H52+H53+H54+H55+H56+H57)/H9,0)*(H23&gt;0)</f>
        <v>0</v>
      </c>
      <c r="I62" s="110">
        <f t="shared" ref="I62:O62" si="32">(I21-I22)*4.62%*(I24-I9)*(I3=1)*IF(I9&gt;0,(I44+I45+I52+I53+I54+I55+I56+I57)/I9,0)*(I24&gt;0)</f>
        <v>0</v>
      </c>
      <c r="J62" s="110">
        <f t="shared" si="32"/>
        <v>0</v>
      </c>
      <c r="K62" s="110">
        <f t="shared" si="32"/>
        <v>0</v>
      </c>
      <c r="L62" s="110">
        <f t="shared" si="32"/>
        <v>0</v>
      </c>
      <c r="M62" s="110">
        <f t="shared" si="32"/>
        <v>0</v>
      </c>
      <c r="N62" s="110">
        <f t="shared" si="32"/>
        <v>0</v>
      </c>
      <c r="O62" s="110">
        <f t="shared" si="32"/>
        <v>0</v>
      </c>
      <c r="P62" s="111">
        <f t="shared" si="13"/>
        <v>0</v>
      </c>
      <c r="Q62" s="92"/>
      <c r="R62" s="92"/>
      <c r="S62" s="92"/>
      <c r="T62" s="92"/>
      <c r="U62" s="92"/>
      <c r="V62" s="92"/>
    </row>
    <row r="63" spans="1:22">
      <c r="A63" s="23">
        <f t="shared" si="15"/>
        <v>63</v>
      </c>
      <c r="B63" s="163" t="s">
        <v>192</v>
      </c>
      <c r="C63" s="228"/>
      <c r="D63" s="216">
        <f t="shared" ref="D63:O63" si="33">SUM(D32:D42)+MAX(D31-8000,0)</f>
        <v>0</v>
      </c>
      <c r="E63" s="110">
        <f t="shared" si="33"/>
        <v>0</v>
      </c>
      <c r="F63" s="110">
        <f t="shared" si="33"/>
        <v>0</v>
      </c>
      <c r="G63" s="110">
        <f t="shared" si="33"/>
        <v>0</v>
      </c>
      <c r="H63" s="110">
        <f t="shared" si="33"/>
        <v>0</v>
      </c>
      <c r="I63" s="110">
        <f t="shared" si="33"/>
        <v>0</v>
      </c>
      <c r="J63" s="110">
        <f t="shared" si="33"/>
        <v>0</v>
      </c>
      <c r="K63" s="110">
        <f t="shared" si="33"/>
        <v>0</v>
      </c>
      <c r="L63" s="110">
        <f t="shared" si="33"/>
        <v>0</v>
      </c>
      <c r="M63" s="110">
        <f t="shared" si="33"/>
        <v>0</v>
      </c>
      <c r="N63" s="110">
        <f t="shared" si="33"/>
        <v>0</v>
      </c>
      <c r="O63" s="110">
        <f t="shared" si="33"/>
        <v>0</v>
      </c>
      <c r="P63" s="111">
        <f t="shared" si="13"/>
        <v>0</v>
      </c>
      <c r="Q63" s="92"/>
      <c r="R63" s="92"/>
      <c r="S63" s="92"/>
      <c r="T63" s="92"/>
      <c r="U63" s="92"/>
      <c r="V63" s="92"/>
    </row>
    <row r="64" spans="1:22">
      <c r="A64" s="23">
        <f t="shared" si="15"/>
        <v>64</v>
      </c>
      <c r="B64" s="189" t="s">
        <v>22</v>
      </c>
      <c r="C64" s="228"/>
      <c r="D64" s="217">
        <f>SUM(D28:D30)+IF(D31&gt;0,MIN(D31,8000),0)</f>
        <v>0</v>
      </c>
      <c r="E64" s="217">
        <f t="shared" ref="E64:O64" si="34">SUM(E28:E30)+IF(E31&gt;0,MIN(E31,8000),0)</f>
        <v>0</v>
      </c>
      <c r="F64" s="217">
        <f t="shared" si="34"/>
        <v>0</v>
      </c>
      <c r="G64" s="217">
        <f t="shared" si="34"/>
        <v>0</v>
      </c>
      <c r="H64" s="217">
        <f t="shared" si="34"/>
        <v>0</v>
      </c>
      <c r="I64" s="217">
        <f t="shared" si="34"/>
        <v>0</v>
      </c>
      <c r="J64" s="217">
        <f t="shared" si="34"/>
        <v>0</v>
      </c>
      <c r="K64" s="217">
        <f t="shared" si="34"/>
        <v>0</v>
      </c>
      <c r="L64" s="217">
        <f t="shared" si="34"/>
        <v>0</v>
      </c>
      <c r="M64" s="217">
        <f t="shared" si="34"/>
        <v>0</v>
      </c>
      <c r="N64" s="217">
        <f t="shared" si="34"/>
        <v>0</v>
      </c>
      <c r="O64" s="217">
        <f t="shared" si="34"/>
        <v>0</v>
      </c>
      <c r="P64" s="112">
        <f t="shared" si="13"/>
        <v>0</v>
      </c>
      <c r="Q64" s="92"/>
      <c r="R64" s="92"/>
      <c r="S64" s="92"/>
      <c r="T64" s="92"/>
      <c r="U64" s="92"/>
      <c r="V64" s="92"/>
    </row>
    <row r="65" spans="1:22">
      <c r="A65" s="23">
        <f t="shared" si="15"/>
        <v>65</v>
      </c>
      <c r="B65" s="77" t="s">
        <v>114</v>
      </c>
      <c r="C65" s="229"/>
      <c r="D65" s="218">
        <f>SUM(D44:D64)</f>
        <v>0</v>
      </c>
      <c r="E65" s="218">
        <f t="shared" ref="E65:O65" si="35">SUM(E44:E64)</f>
        <v>0</v>
      </c>
      <c r="F65" s="218">
        <f t="shared" si="35"/>
        <v>0</v>
      </c>
      <c r="G65" s="218">
        <f t="shared" si="35"/>
        <v>0</v>
      </c>
      <c r="H65" s="218">
        <f t="shared" si="35"/>
        <v>0</v>
      </c>
      <c r="I65" s="218">
        <f t="shared" si="35"/>
        <v>0</v>
      </c>
      <c r="J65" s="218">
        <f t="shared" si="35"/>
        <v>11062.58464285714</v>
      </c>
      <c r="K65" s="218">
        <f t="shared" si="35"/>
        <v>20650.169999999998</v>
      </c>
      <c r="L65" s="218">
        <f t="shared" si="35"/>
        <v>20870.459999999995</v>
      </c>
      <c r="M65" s="218">
        <f t="shared" si="35"/>
        <v>18942.029495999996</v>
      </c>
      <c r="N65" s="218">
        <f t="shared" si="35"/>
        <v>20870.459999999995</v>
      </c>
      <c r="O65" s="218">
        <f t="shared" si="35"/>
        <v>1586.1549599999998</v>
      </c>
      <c r="P65" s="84">
        <f t="shared" si="13"/>
        <v>93981.859098857109</v>
      </c>
      <c r="Q65" s="92"/>
      <c r="R65" s="92"/>
      <c r="S65" s="92"/>
      <c r="T65" s="92"/>
      <c r="U65" s="92"/>
      <c r="V65" s="92"/>
    </row>
    <row r="66" spans="1:22">
      <c r="A66" s="23">
        <f t="shared" si="15"/>
        <v>66</v>
      </c>
      <c r="B66" s="162" t="s">
        <v>111</v>
      </c>
      <c r="C66" s="228"/>
      <c r="D66" s="215">
        <f>ROUND(D44*17.3%/3,2)*(D6="L")</f>
        <v>0</v>
      </c>
      <c r="E66" s="108">
        <f t="shared" ref="E66:O66" si="36">ROUND(E44*17.3%/3,2)*(E6="L")</f>
        <v>0</v>
      </c>
      <c r="F66" s="108">
        <f t="shared" si="36"/>
        <v>0</v>
      </c>
      <c r="G66" s="108">
        <f t="shared" si="36"/>
        <v>0</v>
      </c>
      <c r="H66" s="108">
        <f t="shared" si="36"/>
        <v>0</v>
      </c>
      <c r="I66" s="108">
        <f t="shared" si="36"/>
        <v>0</v>
      </c>
      <c r="J66" s="108">
        <f t="shared" si="36"/>
        <v>543.13</v>
      </c>
      <c r="K66" s="108">
        <f t="shared" si="36"/>
        <v>1013.85</v>
      </c>
      <c r="L66" s="108">
        <f t="shared" si="36"/>
        <v>1024.8800000000001</v>
      </c>
      <c r="M66" s="108">
        <f t="shared" si="36"/>
        <v>1024.8800000000001</v>
      </c>
      <c r="N66" s="108">
        <f t="shared" si="36"/>
        <v>1024.8800000000001</v>
      </c>
      <c r="O66" s="108">
        <f t="shared" si="36"/>
        <v>1024.8800000000001</v>
      </c>
      <c r="P66" s="109">
        <f t="shared" si="13"/>
        <v>5656.5000000000009</v>
      </c>
      <c r="Q66" s="92"/>
      <c r="R66" s="92"/>
      <c r="S66" s="92"/>
      <c r="T66" s="92"/>
      <c r="U66" s="92"/>
      <c r="V66" s="92"/>
    </row>
    <row r="67" spans="1:22">
      <c r="A67" s="23">
        <f t="shared" si="15"/>
        <v>67</v>
      </c>
      <c r="B67" s="163" t="s">
        <v>196</v>
      </c>
      <c r="C67" s="228"/>
      <c r="D67" s="216">
        <f>ROUND(D46*17.3%/3,2)*(D6="L")</f>
        <v>0</v>
      </c>
      <c r="E67" s="110">
        <f t="shared" ref="E67:O67" si="37">ROUND(E46*17.3%/3,2)*(E6="L")</f>
        <v>0</v>
      </c>
      <c r="F67" s="110">
        <f t="shared" si="37"/>
        <v>0</v>
      </c>
      <c r="G67" s="110">
        <f t="shared" si="37"/>
        <v>0</v>
      </c>
      <c r="H67" s="110">
        <f t="shared" si="37"/>
        <v>0</v>
      </c>
      <c r="I67" s="110">
        <f t="shared" si="37"/>
        <v>0</v>
      </c>
      <c r="J67" s="110">
        <f t="shared" si="37"/>
        <v>37.67</v>
      </c>
      <c r="K67" s="110">
        <f t="shared" si="37"/>
        <v>70.319999999999993</v>
      </c>
      <c r="L67" s="110">
        <f t="shared" si="37"/>
        <v>71.08</v>
      </c>
      <c r="M67" s="110">
        <f t="shared" si="37"/>
        <v>71.08</v>
      </c>
      <c r="N67" s="110">
        <f t="shared" si="37"/>
        <v>71.08</v>
      </c>
      <c r="O67" s="110">
        <f t="shared" si="37"/>
        <v>71.08</v>
      </c>
      <c r="P67" s="111">
        <f t="shared" si="13"/>
        <v>392.30999999999995</v>
      </c>
      <c r="Q67" s="92"/>
      <c r="R67" s="92"/>
      <c r="S67" s="92"/>
      <c r="T67" s="92"/>
      <c r="U67" s="92"/>
      <c r="V67" s="92"/>
    </row>
    <row r="68" spans="1:22">
      <c r="A68" s="23">
        <f t="shared" si="15"/>
        <v>68</v>
      </c>
      <c r="B68" s="163" t="s">
        <v>112</v>
      </c>
      <c r="C68" s="228"/>
      <c r="D68" s="216">
        <f>ROUND(D47*17.3%/3,2)</f>
        <v>0</v>
      </c>
      <c r="E68" s="110">
        <f t="shared" ref="E68:O68" si="38">ROUND(E47*17.3%/3,2)</f>
        <v>0</v>
      </c>
      <c r="F68" s="110">
        <f t="shared" si="38"/>
        <v>0</v>
      </c>
      <c r="G68" s="110">
        <f t="shared" si="38"/>
        <v>0</v>
      </c>
      <c r="H68" s="110">
        <f t="shared" si="38"/>
        <v>0</v>
      </c>
      <c r="I68" s="110">
        <f t="shared" si="38"/>
        <v>0</v>
      </c>
      <c r="J68" s="110">
        <f t="shared" si="38"/>
        <v>0</v>
      </c>
      <c r="K68" s="110">
        <f t="shared" si="38"/>
        <v>0</v>
      </c>
      <c r="L68" s="110">
        <f t="shared" si="38"/>
        <v>0</v>
      </c>
      <c r="M68" s="110">
        <f t="shared" si="38"/>
        <v>0</v>
      </c>
      <c r="N68" s="110">
        <f t="shared" si="38"/>
        <v>0</v>
      </c>
      <c r="O68" s="110">
        <f t="shared" si="38"/>
        <v>0</v>
      </c>
      <c r="P68" s="111">
        <f t="shared" si="13"/>
        <v>0</v>
      </c>
      <c r="Q68" s="92"/>
      <c r="R68" s="92"/>
      <c r="S68" s="92"/>
      <c r="T68" s="92"/>
      <c r="U68" s="92"/>
      <c r="V68" s="92"/>
    </row>
    <row r="69" spans="1:22">
      <c r="A69" s="23">
        <f t="shared" si="15"/>
        <v>69</v>
      </c>
      <c r="B69" s="163" t="s">
        <v>203</v>
      </c>
      <c r="C69" s="228"/>
      <c r="D69" s="216">
        <f>ROUND(D48*17.3%/3,2)*OR((D6="L"),(LEFT(D19)="J"))</f>
        <v>0</v>
      </c>
      <c r="E69" s="110">
        <f t="shared" ref="E69:O69" si="39">ROUND(E48*17.3%/3,2)*OR((E6="L"),(LEFT(E19)="J"))</f>
        <v>0</v>
      </c>
      <c r="F69" s="110">
        <f t="shared" si="39"/>
        <v>0</v>
      </c>
      <c r="G69" s="110">
        <f t="shared" si="39"/>
        <v>0</v>
      </c>
      <c r="H69" s="110">
        <f t="shared" si="39"/>
        <v>0</v>
      </c>
      <c r="I69" s="110">
        <f t="shared" si="39"/>
        <v>0</v>
      </c>
      <c r="J69" s="110">
        <f t="shared" si="39"/>
        <v>0</v>
      </c>
      <c r="K69" s="110">
        <f t="shared" si="39"/>
        <v>0</v>
      </c>
      <c r="L69" s="110">
        <f t="shared" si="39"/>
        <v>0</v>
      </c>
      <c r="M69" s="110">
        <f t="shared" si="39"/>
        <v>0</v>
      </c>
      <c r="N69" s="110">
        <f t="shared" si="39"/>
        <v>0</v>
      </c>
      <c r="O69" s="110">
        <f t="shared" si="39"/>
        <v>0</v>
      </c>
      <c r="P69" s="111">
        <f t="shared" si="13"/>
        <v>0</v>
      </c>
      <c r="Q69" s="92"/>
      <c r="R69" s="92"/>
      <c r="S69" s="92"/>
      <c r="T69" s="92"/>
      <c r="U69" s="92"/>
      <c r="V69" s="92"/>
    </row>
    <row r="70" spans="1:22">
      <c r="A70" s="23">
        <f t="shared" si="15"/>
        <v>70</v>
      </c>
      <c r="B70" s="163" t="s">
        <v>204</v>
      </c>
      <c r="C70" s="228"/>
      <c r="D70" s="216">
        <f>ROUND(D49*17.3%/3,2)*OR((D6="L"),(LEFT(D19)="J"))</f>
        <v>0</v>
      </c>
      <c r="E70" s="110">
        <f t="shared" ref="E70:O70" si="40">ROUND(E49*17.3%/3,2)*OR((E6="L"),(LEFT(E19)="J"))</f>
        <v>0</v>
      </c>
      <c r="F70" s="110">
        <f t="shared" si="40"/>
        <v>0</v>
      </c>
      <c r="G70" s="110">
        <f t="shared" si="40"/>
        <v>0</v>
      </c>
      <c r="H70" s="110">
        <f t="shared" si="40"/>
        <v>0</v>
      </c>
      <c r="I70" s="110">
        <f t="shared" si="40"/>
        <v>0</v>
      </c>
      <c r="J70" s="110">
        <f t="shared" si="40"/>
        <v>0</v>
      </c>
      <c r="K70" s="110">
        <f t="shared" si="40"/>
        <v>0</v>
      </c>
      <c r="L70" s="110">
        <f t="shared" si="40"/>
        <v>0</v>
      </c>
      <c r="M70" s="110">
        <f t="shared" si="40"/>
        <v>0</v>
      </c>
      <c r="N70" s="110">
        <f t="shared" si="40"/>
        <v>0</v>
      </c>
      <c r="O70" s="110">
        <f t="shared" si="40"/>
        <v>0</v>
      </c>
      <c r="P70" s="111">
        <f t="shared" si="13"/>
        <v>0</v>
      </c>
      <c r="Q70" s="92"/>
      <c r="R70" s="92"/>
      <c r="S70" s="92"/>
      <c r="T70" s="92"/>
      <c r="U70" s="92"/>
      <c r="V70" s="92"/>
    </row>
    <row r="71" spans="1:22">
      <c r="A71" s="23">
        <f t="shared" si="15"/>
        <v>71</v>
      </c>
      <c r="B71" s="163" t="s">
        <v>64</v>
      </c>
      <c r="C71" s="228"/>
      <c r="D71" s="216">
        <f>ROUND(D50*17.3%/3,2)*OR((D6="L"),(LEFT(D19)="J"))</f>
        <v>0</v>
      </c>
      <c r="E71" s="110">
        <f t="shared" ref="E71:O71" si="41">ROUND(E50*17.3%/3,2)*OR((E6="L"),(LEFT(E19)="J"))</f>
        <v>0</v>
      </c>
      <c r="F71" s="110">
        <f t="shared" si="41"/>
        <v>0</v>
      </c>
      <c r="G71" s="110">
        <f t="shared" si="41"/>
        <v>0</v>
      </c>
      <c r="H71" s="110">
        <f t="shared" si="41"/>
        <v>0</v>
      </c>
      <c r="I71" s="110">
        <f t="shared" si="41"/>
        <v>0</v>
      </c>
      <c r="J71" s="110">
        <f t="shared" si="41"/>
        <v>0</v>
      </c>
      <c r="K71" s="110">
        <f t="shared" si="41"/>
        <v>0</v>
      </c>
      <c r="L71" s="110">
        <f t="shared" si="41"/>
        <v>0</v>
      </c>
      <c r="M71" s="110">
        <f t="shared" si="41"/>
        <v>0</v>
      </c>
      <c r="N71" s="110">
        <f t="shared" si="41"/>
        <v>0</v>
      </c>
      <c r="O71" s="110">
        <f t="shared" si="41"/>
        <v>0</v>
      </c>
      <c r="P71" s="111">
        <f t="shared" si="13"/>
        <v>0</v>
      </c>
      <c r="Q71" s="92"/>
      <c r="R71" s="92"/>
      <c r="S71" s="92"/>
      <c r="T71" s="92"/>
      <c r="U71" s="92"/>
      <c r="V71" s="92"/>
    </row>
    <row r="72" spans="1:22">
      <c r="A72" s="23">
        <f t="shared" si="15"/>
        <v>72</v>
      </c>
      <c r="B72" s="163" t="s">
        <v>65</v>
      </c>
      <c r="C72" s="228"/>
      <c r="D72" s="216">
        <f>ROUND(D51*17.3%/3,2)*OR((D6="L"),(LEFT(D19)="J"))</f>
        <v>0</v>
      </c>
      <c r="E72" s="110">
        <f t="shared" ref="E72:O72" si="42">ROUND(E51*17.3%/3,2)*OR((E6="L"),(LEFT(E19)="J"))</f>
        <v>0</v>
      </c>
      <c r="F72" s="110">
        <f t="shared" si="42"/>
        <v>0</v>
      </c>
      <c r="G72" s="110">
        <f t="shared" si="42"/>
        <v>0</v>
      </c>
      <c r="H72" s="110">
        <f t="shared" si="42"/>
        <v>0</v>
      </c>
      <c r="I72" s="110">
        <f t="shared" si="42"/>
        <v>0</v>
      </c>
      <c r="J72" s="110">
        <f t="shared" si="42"/>
        <v>0</v>
      </c>
      <c r="K72" s="110">
        <f t="shared" si="42"/>
        <v>0</v>
      </c>
      <c r="L72" s="110">
        <f t="shared" si="42"/>
        <v>0</v>
      </c>
      <c r="M72" s="110">
        <f t="shared" si="42"/>
        <v>0</v>
      </c>
      <c r="N72" s="110">
        <f t="shared" si="42"/>
        <v>0</v>
      </c>
      <c r="O72" s="110">
        <f t="shared" si="42"/>
        <v>0</v>
      </c>
      <c r="P72" s="111">
        <f t="shared" si="13"/>
        <v>0</v>
      </c>
      <c r="Q72" s="92"/>
      <c r="R72" s="92"/>
      <c r="S72" s="92"/>
      <c r="T72" s="92"/>
      <c r="U72" s="92"/>
      <c r="V72" s="92"/>
    </row>
    <row r="73" spans="1:22">
      <c r="A73" s="23">
        <f t="shared" si="15"/>
        <v>73</v>
      </c>
      <c r="B73" s="163" t="s">
        <v>66</v>
      </c>
      <c r="C73" s="228"/>
      <c r="D73" s="216">
        <f>ROUND(D52*17.3%/3,2)*OR((D6="L"),(LEFT(D19)="J"))</f>
        <v>0</v>
      </c>
      <c r="E73" s="110">
        <f t="shared" ref="E73:O73" si="43">ROUND(E52*17.3%/3,2)*OR((E6="L"),(LEFT(E19)="J"))</f>
        <v>0</v>
      </c>
      <c r="F73" s="110">
        <f t="shared" si="43"/>
        <v>0</v>
      </c>
      <c r="G73" s="110">
        <f t="shared" si="43"/>
        <v>0</v>
      </c>
      <c r="H73" s="110">
        <f t="shared" si="43"/>
        <v>0</v>
      </c>
      <c r="I73" s="110">
        <f t="shared" si="43"/>
        <v>0</v>
      </c>
      <c r="J73" s="110">
        <f t="shared" si="43"/>
        <v>32.04</v>
      </c>
      <c r="K73" s="110">
        <f t="shared" si="43"/>
        <v>59.81</v>
      </c>
      <c r="L73" s="110">
        <f t="shared" si="43"/>
        <v>60.47</v>
      </c>
      <c r="M73" s="110">
        <f t="shared" si="43"/>
        <v>60.47</v>
      </c>
      <c r="N73" s="110">
        <f t="shared" si="43"/>
        <v>60.47</v>
      </c>
      <c r="O73" s="110">
        <f t="shared" si="43"/>
        <v>60.47</v>
      </c>
      <c r="P73" s="111">
        <f t="shared" si="13"/>
        <v>333.73</v>
      </c>
      <c r="Q73" s="92"/>
      <c r="R73" s="92"/>
      <c r="S73" s="92"/>
      <c r="T73" s="92"/>
      <c r="U73" s="92"/>
      <c r="V73" s="92"/>
    </row>
    <row r="74" spans="1:22">
      <c r="A74" s="23">
        <f t="shared" si="15"/>
        <v>74</v>
      </c>
      <c r="B74" s="163" t="s">
        <v>67</v>
      </c>
      <c r="C74" s="228"/>
      <c r="D74" s="216">
        <f t="shared" ref="D74:O75" si="44">ROUND(D53*17.3%/3,2)*OR((D6="L"),(LEFT(D19)="J"))</f>
        <v>0</v>
      </c>
      <c r="E74" s="110">
        <f t="shared" si="44"/>
        <v>0</v>
      </c>
      <c r="F74" s="110">
        <f t="shared" si="44"/>
        <v>0</v>
      </c>
      <c r="G74" s="110">
        <f t="shared" si="44"/>
        <v>0</v>
      </c>
      <c r="H74" s="110">
        <f t="shared" si="44"/>
        <v>0</v>
      </c>
      <c r="I74" s="110">
        <f t="shared" si="44"/>
        <v>0</v>
      </c>
      <c r="J74" s="110">
        <f t="shared" si="44"/>
        <v>0</v>
      </c>
      <c r="K74" s="110">
        <f t="shared" si="44"/>
        <v>0</v>
      </c>
      <c r="L74" s="110">
        <f t="shared" si="44"/>
        <v>0</v>
      </c>
      <c r="M74" s="110">
        <f t="shared" si="44"/>
        <v>0</v>
      </c>
      <c r="N74" s="110">
        <f t="shared" si="44"/>
        <v>0</v>
      </c>
      <c r="O74" s="110">
        <f t="shared" si="44"/>
        <v>0</v>
      </c>
      <c r="P74" s="111">
        <f t="shared" si="13"/>
        <v>0</v>
      </c>
      <c r="Q74" s="92"/>
      <c r="R74" s="92"/>
      <c r="S74" s="92"/>
      <c r="T74" s="92"/>
      <c r="U74" s="92"/>
      <c r="V74" s="92"/>
    </row>
    <row r="75" spans="1:22">
      <c r="A75" s="23">
        <f t="shared" si="15"/>
        <v>75</v>
      </c>
      <c r="B75" s="163" t="s">
        <v>20</v>
      </c>
      <c r="C75" s="228"/>
      <c r="D75" s="216">
        <f t="shared" si="44"/>
        <v>0</v>
      </c>
      <c r="E75" s="110">
        <f t="shared" si="44"/>
        <v>0</v>
      </c>
      <c r="F75" s="110">
        <f t="shared" si="44"/>
        <v>0</v>
      </c>
      <c r="G75" s="110">
        <f t="shared" si="44"/>
        <v>0</v>
      </c>
      <c r="H75" s="110">
        <f t="shared" si="44"/>
        <v>0</v>
      </c>
      <c r="I75" s="110">
        <f t="shared" si="44"/>
        <v>0</v>
      </c>
      <c r="J75" s="110">
        <f t="shared" si="44"/>
        <v>0</v>
      </c>
      <c r="K75" s="110">
        <f t="shared" si="44"/>
        <v>0</v>
      </c>
      <c r="L75" s="110">
        <f t="shared" si="44"/>
        <v>0</v>
      </c>
      <c r="M75" s="110">
        <f t="shared" si="44"/>
        <v>0</v>
      </c>
      <c r="N75" s="110">
        <f t="shared" si="44"/>
        <v>0</v>
      </c>
      <c r="O75" s="110">
        <f t="shared" si="44"/>
        <v>0</v>
      </c>
      <c r="P75" s="111">
        <f>SUM(D75:O75)</f>
        <v>0</v>
      </c>
      <c r="Q75" s="92"/>
      <c r="R75" s="92"/>
      <c r="S75" s="92"/>
      <c r="T75" s="92"/>
      <c r="U75" s="92"/>
      <c r="V75" s="92"/>
    </row>
    <row r="76" spans="1:22">
      <c r="A76" s="23">
        <f t="shared" si="15"/>
        <v>76</v>
      </c>
      <c r="B76" s="163" t="s">
        <v>68</v>
      </c>
      <c r="C76" s="228"/>
      <c r="D76" s="216">
        <f>ROUND(D55*17.3%/3,2)*(D6="L")</f>
        <v>0</v>
      </c>
      <c r="E76" s="110">
        <f t="shared" ref="E76:O76" si="45">ROUND(E55*17.3%/3,2)*(E6="L")</f>
        <v>0</v>
      </c>
      <c r="F76" s="110">
        <f t="shared" si="45"/>
        <v>0</v>
      </c>
      <c r="G76" s="110">
        <f t="shared" si="45"/>
        <v>0</v>
      </c>
      <c r="H76" s="110">
        <f t="shared" si="45"/>
        <v>0</v>
      </c>
      <c r="I76" s="110">
        <f t="shared" si="45"/>
        <v>0</v>
      </c>
      <c r="J76" s="110">
        <f t="shared" si="45"/>
        <v>0</v>
      </c>
      <c r="K76" s="110">
        <f t="shared" si="45"/>
        <v>0</v>
      </c>
      <c r="L76" s="110">
        <f t="shared" si="45"/>
        <v>0</v>
      </c>
      <c r="M76" s="110">
        <f t="shared" si="45"/>
        <v>0</v>
      </c>
      <c r="N76" s="110">
        <f t="shared" si="45"/>
        <v>0</v>
      </c>
      <c r="O76" s="110">
        <f t="shared" si="45"/>
        <v>0</v>
      </c>
      <c r="P76" s="111">
        <f t="shared" si="13"/>
        <v>0</v>
      </c>
      <c r="Q76" s="92"/>
      <c r="R76" s="92"/>
      <c r="S76" s="92"/>
      <c r="T76" s="92"/>
      <c r="U76" s="92"/>
      <c r="V76" s="92"/>
    </row>
    <row r="77" spans="1:22">
      <c r="A77" s="23">
        <f t="shared" si="15"/>
        <v>77</v>
      </c>
      <c r="B77" s="163" t="s">
        <v>69</v>
      </c>
      <c r="C77" s="228"/>
      <c r="D77" s="216">
        <f>ROUND(D57*17.3%/3,2)*(D6="L")</f>
        <v>0</v>
      </c>
      <c r="E77" s="110">
        <f t="shared" ref="E77:O77" si="46">ROUND(E57*17.3%/3,2)*(E6="L")</f>
        <v>0</v>
      </c>
      <c r="F77" s="110">
        <f t="shared" si="46"/>
        <v>0</v>
      </c>
      <c r="G77" s="110">
        <f t="shared" si="46"/>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1">
        <f t="shared" si="13"/>
        <v>0</v>
      </c>
      <c r="Q77" s="92"/>
      <c r="R77" s="92"/>
      <c r="S77" s="92"/>
      <c r="T77" s="92"/>
      <c r="U77" s="92"/>
      <c r="V77" s="92"/>
    </row>
    <row r="78" spans="1:22">
      <c r="A78" s="23">
        <f t="shared" si="15"/>
        <v>78</v>
      </c>
      <c r="B78" s="163" t="s">
        <v>119</v>
      </c>
      <c r="C78" s="228"/>
      <c r="D78" s="216">
        <f>((SUM(D44:D60)-230328.08*D7*D9/12)*0.7%/3*((D65-D61)&gt;230328.08/12*D7*D9)*(LEFT(D4)="B")+(SUM(D44:D60)-275936.7*D7*D9/12)*0.7%/3*(SUM(D44:D60)&gt;275936.7/12*D7*D9)*(LEFT(D4)="L"))*(LEFT(D6)&lt;&gt;"L")*(LEFT(D19)="J")</f>
        <v>0</v>
      </c>
      <c r="E78" s="110">
        <f t="shared" ref="E78:O78" si="47">((SUM(E44:E60)-230328.08*E7*E9/12)*0.7%/3*((E65-E61)&gt;230328.08/12*E7*E9)*(LEFT(E4)="B")+(SUM(E44:E60)-275936.7*E7*E9/12)*0.7%/3*(SUM(E44:E60)&gt;275936.7/12*E7*E9)*(LEFT(E4)="L"))*(LEFT(E6)&lt;&gt;"L")*(LEFT(E19)="J")</f>
        <v>0</v>
      </c>
      <c r="F78" s="110">
        <f t="shared" si="47"/>
        <v>0</v>
      </c>
      <c r="G78" s="110">
        <f t="shared" si="47"/>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1">
        <f t="shared" si="13"/>
        <v>0</v>
      </c>
      <c r="Q78" s="92"/>
      <c r="R78" s="92"/>
      <c r="S78" s="92"/>
      <c r="T78" s="92"/>
      <c r="U78" s="92"/>
      <c r="V78" s="92"/>
    </row>
    <row r="79" spans="1:22">
      <c r="A79" s="23">
        <f t="shared" si="15"/>
        <v>79</v>
      </c>
      <c r="B79" s="163" t="s">
        <v>263</v>
      </c>
      <c r="C79" s="228"/>
      <c r="D79" s="216">
        <f t="shared" ref="D79:O79" si="48">ROUND(-(D22+D25)*4.62%*SUM(D66:D78),2)</f>
        <v>0</v>
      </c>
      <c r="E79" s="216">
        <f t="shared" si="48"/>
        <v>0</v>
      </c>
      <c r="F79" s="216">
        <f t="shared" si="48"/>
        <v>0</v>
      </c>
      <c r="G79" s="216">
        <f t="shared" si="48"/>
        <v>0</v>
      </c>
      <c r="H79" s="216">
        <f t="shared" si="48"/>
        <v>0</v>
      </c>
      <c r="I79" s="216">
        <f t="shared" si="48"/>
        <v>0</v>
      </c>
      <c r="J79" s="216">
        <f t="shared" si="48"/>
        <v>0</v>
      </c>
      <c r="K79" s="216">
        <f t="shared" si="48"/>
        <v>0</v>
      </c>
      <c r="L79" s="216">
        <f t="shared" si="48"/>
        <v>0</v>
      </c>
      <c r="M79" s="216">
        <f t="shared" si="48"/>
        <v>-106.85</v>
      </c>
      <c r="N79" s="216">
        <f t="shared" si="48"/>
        <v>0</v>
      </c>
      <c r="O79" s="216">
        <f t="shared" si="48"/>
        <v>-1068.54</v>
      </c>
      <c r="P79" s="111">
        <f t="shared" si="13"/>
        <v>-1175.3899999999999</v>
      </c>
      <c r="Q79" s="92"/>
      <c r="R79" s="92"/>
      <c r="S79" s="92"/>
      <c r="T79" s="92"/>
      <c r="U79" s="92"/>
      <c r="V79" s="92"/>
    </row>
    <row r="80" spans="1:22">
      <c r="A80" s="23">
        <f t="shared" si="15"/>
        <v>80</v>
      </c>
      <c r="B80" s="164" t="s">
        <v>222</v>
      </c>
      <c r="C80" s="228"/>
      <c r="D80" s="219">
        <f>IF(OR(D62=0,D9=0),0,(D66+D73+D74+D76+D77)/D9*4.62%*(D23-D9)*(D21-D22))</f>
        <v>0</v>
      </c>
      <c r="E80" s="219">
        <f t="shared" ref="E80:L80" si="49">IF(OR(E62=0,E9=0),0,(E66+E73+E74+E76+E77)/E9*4.62%*(E23-E9)*(E21-E22))</f>
        <v>0</v>
      </c>
      <c r="F80" s="219">
        <f t="shared" si="49"/>
        <v>0</v>
      </c>
      <c r="G80" s="219">
        <f t="shared" si="49"/>
        <v>0</v>
      </c>
      <c r="H80" s="219">
        <f t="shared" si="49"/>
        <v>0</v>
      </c>
      <c r="I80" s="219">
        <f t="shared" si="49"/>
        <v>0</v>
      </c>
      <c r="J80" s="219">
        <f t="shared" si="49"/>
        <v>0</v>
      </c>
      <c r="K80" s="219">
        <f t="shared" si="49"/>
        <v>0</v>
      </c>
      <c r="L80" s="219">
        <f t="shared" si="49"/>
        <v>0</v>
      </c>
      <c r="M80" s="219">
        <f>IF(OR(M62=0,M9=0),0,(M66+M73+M74+M76+M77)/M9*4.62%*(M24-M9)*(M21-M22))</f>
        <v>0</v>
      </c>
      <c r="N80" s="219">
        <f>IF(OR(N62=0,N9=0),0,(N66+N73+N74+N76+N77)/N9*4.62%*(N24-N9)*(N21-N22))</f>
        <v>0</v>
      </c>
      <c r="O80" s="219">
        <f>IF(OR(O62=0,O9=0),0,(O66+O73+O74+O76+O77)/O9*4.62%*(O24-O9)*(O21-O22))</f>
        <v>0</v>
      </c>
      <c r="P80" s="131">
        <f t="shared" si="13"/>
        <v>0</v>
      </c>
      <c r="Q80" s="92"/>
      <c r="R80" s="92"/>
      <c r="S80" s="92"/>
      <c r="T80" s="92"/>
      <c r="U80" s="92"/>
      <c r="V80" s="92"/>
    </row>
    <row r="81" spans="1:22" ht="13" thickBot="1">
      <c r="A81" s="158">
        <f t="shared" si="15"/>
        <v>81</v>
      </c>
      <c r="B81" s="159" t="s">
        <v>194</v>
      </c>
      <c r="C81" s="229"/>
      <c r="D81" s="220">
        <f>SUM(D66:D80)</f>
        <v>0</v>
      </c>
      <c r="E81" s="160">
        <f t="shared" ref="E81:O81" si="50">SUM(E66:E80)</f>
        <v>0</v>
      </c>
      <c r="F81" s="160">
        <f t="shared" si="50"/>
        <v>0</v>
      </c>
      <c r="G81" s="160">
        <f t="shared" si="50"/>
        <v>0</v>
      </c>
      <c r="H81" s="160">
        <f t="shared" si="50"/>
        <v>0</v>
      </c>
      <c r="I81" s="160">
        <f t="shared" si="50"/>
        <v>0</v>
      </c>
      <c r="J81" s="160">
        <f t="shared" si="50"/>
        <v>612.83999999999992</v>
      </c>
      <c r="K81" s="160">
        <f t="shared" si="50"/>
        <v>1143.98</v>
      </c>
      <c r="L81" s="160">
        <f t="shared" si="50"/>
        <v>1156.43</v>
      </c>
      <c r="M81" s="160">
        <f t="shared" si="50"/>
        <v>1049.5800000000002</v>
      </c>
      <c r="N81" s="160">
        <f t="shared" si="50"/>
        <v>1156.43</v>
      </c>
      <c r="O81" s="160">
        <f t="shared" si="50"/>
        <v>87.8900000000001</v>
      </c>
      <c r="P81" s="161">
        <f t="shared" si="13"/>
        <v>5207.1500000000005</v>
      </c>
      <c r="Q81" s="92"/>
      <c r="R81" s="92"/>
      <c r="S81" s="92"/>
      <c r="T81" s="92"/>
      <c r="U81" s="92"/>
      <c r="V81" s="92"/>
    </row>
    <row r="82" spans="1:22">
      <c r="A82" s="23">
        <f>A81+1</f>
        <v>82</v>
      </c>
      <c r="B82" s="190" t="s">
        <v>105</v>
      </c>
      <c r="C82" s="230"/>
      <c r="D82" s="221">
        <f>D94/3</f>
        <v>0</v>
      </c>
      <c r="E82" s="113">
        <f t="shared" ref="E82:O82" si="51">E94/3</f>
        <v>0</v>
      </c>
      <c r="F82" s="113">
        <f t="shared" si="51"/>
        <v>0</v>
      </c>
      <c r="G82" s="113">
        <f t="shared" si="51"/>
        <v>0</v>
      </c>
      <c r="H82" s="113">
        <f t="shared" si="51"/>
        <v>0</v>
      </c>
      <c r="I82" s="113">
        <f t="shared" si="51"/>
        <v>0</v>
      </c>
      <c r="J82" s="113">
        <f t="shared" si="51"/>
        <v>30</v>
      </c>
      <c r="K82" s="113">
        <f t="shared" si="51"/>
        <v>90</v>
      </c>
      <c r="L82" s="113">
        <f t="shared" si="51"/>
        <v>90</v>
      </c>
      <c r="M82" s="113">
        <f t="shared" si="51"/>
        <v>90</v>
      </c>
      <c r="N82" s="113">
        <f t="shared" si="51"/>
        <v>90</v>
      </c>
      <c r="O82" s="113">
        <f t="shared" si="51"/>
        <v>90</v>
      </c>
      <c r="P82" s="109">
        <f>SUM(D82:O82)</f>
        <v>480</v>
      </c>
      <c r="Q82" s="92"/>
      <c r="R82" s="92"/>
      <c r="S82" s="92"/>
      <c r="T82" s="92"/>
      <c r="U82" s="92"/>
      <c r="V82" s="92"/>
    </row>
    <row r="83" spans="1:22">
      <c r="A83" s="23">
        <f>A82+1</f>
        <v>83</v>
      </c>
      <c r="B83" s="190" t="s">
        <v>100</v>
      </c>
      <c r="C83" s="230"/>
      <c r="D83" s="221">
        <f t="shared" ref="D83:O83" si="52">SUM(D44:D63)-D82</f>
        <v>0</v>
      </c>
      <c r="E83" s="113">
        <f t="shared" si="52"/>
        <v>0</v>
      </c>
      <c r="F83" s="113">
        <f t="shared" si="52"/>
        <v>0</v>
      </c>
      <c r="G83" s="113">
        <f t="shared" si="52"/>
        <v>0</v>
      </c>
      <c r="H83" s="113">
        <f t="shared" si="52"/>
        <v>0</v>
      </c>
      <c r="I83" s="113">
        <f t="shared" si="52"/>
        <v>0</v>
      </c>
      <c r="J83" s="113">
        <f t="shared" si="52"/>
        <v>11032.58464285714</v>
      </c>
      <c r="K83" s="113">
        <f t="shared" si="52"/>
        <v>20560.169999999998</v>
      </c>
      <c r="L83" s="113">
        <f t="shared" si="52"/>
        <v>20780.459999999995</v>
      </c>
      <c r="M83" s="113">
        <f t="shared" si="52"/>
        <v>18852.029495999996</v>
      </c>
      <c r="N83" s="113">
        <f t="shared" si="52"/>
        <v>20780.459999999995</v>
      </c>
      <c r="O83" s="113">
        <f t="shared" si="52"/>
        <v>1496.1549599999998</v>
      </c>
      <c r="P83" s="109">
        <f t="shared" ref="P83:P99" si="53">SUM(D83:O83)</f>
        <v>93501.859098857109</v>
      </c>
      <c r="Q83" s="92"/>
      <c r="R83" s="92"/>
      <c r="S83" s="92"/>
      <c r="T83" s="92"/>
      <c r="U83" s="92"/>
      <c r="V83" s="92"/>
    </row>
    <row r="84" spans="1:22">
      <c r="A84" s="23">
        <f t="shared" ref="A84:A100" si="54">A83+1</f>
        <v>84</v>
      </c>
      <c r="B84" s="191" t="s">
        <v>101</v>
      </c>
      <c r="C84" s="230"/>
      <c r="D84" s="222">
        <f>ROUND(D83*8%,0)</f>
        <v>0</v>
      </c>
      <c r="E84" s="114">
        <f t="shared" ref="E84:O84" si="55">ROUND(E83*8%,0)</f>
        <v>0</v>
      </c>
      <c r="F84" s="114">
        <f t="shared" si="55"/>
        <v>0</v>
      </c>
      <c r="G84" s="114">
        <f t="shared" si="55"/>
        <v>0</v>
      </c>
      <c r="H84" s="114">
        <f t="shared" si="55"/>
        <v>0</v>
      </c>
      <c r="I84" s="114">
        <f t="shared" si="55"/>
        <v>0</v>
      </c>
      <c r="J84" s="114">
        <f t="shared" si="55"/>
        <v>883</v>
      </c>
      <c r="K84" s="114">
        <f t="shared" si="55"/>
        <v>1645</v>
      </c>
      <c r="L84" s="114">
        <f t="shared" si="55"/>
        <v>1662</v>
      </c>
      <c r="M84" s="114">
        <f t="shared" si="55"/>
        <v>1508</v>
      </c>
      <c r="N84" s="114">
        <f t="shared" si="55"/>
        <v>1662</v>
      </c>
      <c r="O84" s="114">
        <f t="shared" si="55"/>
        <v>120</v>
      </c>
      <c r="P84" s="111">
        <f t="shared" si="53"/>
        <v>7480</v>
      </c>
      <c r="Q84" s="92"/>
      <c r="R84" s="92"/>
      <c r="S84" s="92"/>
      <c r="T84" s="92"/>
      <c r="U84" s="92"/>
      <c r="V84" s="92"/>
    </row>
    <row r="85" spans="1:22">
      <c r="A85" s="23">
        <f t="shared" si="54"/>
        <v>85</v>
      </c>
      <c r="B85" s="191" t="s">
        <v>102</v>
      </c>
      <c r="C85" s="230"/>
      <c r="D85" s="222">
        <f>D83-D84</f>
        <v>0</v>
      </c>
      <c r="E85" s="114">
        <f t="shared" ref="E85:O85" si="56">E83-E84</f>
        <v>0</v>
      </c>
      <c r="F85" s="114">
        <f t="shared" si="56"/>
        <v>0</v>
      </c>
      <c r="G85" s="114">
        <f t="shared" si="56"/>
        <v>0</v>
      </c>
      <c r="H85" s="114">
        <f t="shared" si="56"/>
        <v>0</v>
      </c>
      <c r="I85" s="114">
        <f t="shared" si="56"/>
        <v>0</v>
      </c>
      <c r="J85" s="114">
        <f t="shared" si="56"/>
        <v>10149.58464285714</v>
      </c>
      <c r="K85" s="114">
        <f t="shared" si="56"/>
        <v>18915.169999999998</v>
      </c>
      <c r="L85" s="114">
        <f t="shared" si="56"/>
        <v>19118.459999999995</v>
      </c>
      <c r="M85" s="114">
        <f t="shared" si="56"/>
        <v>17344.029495999996</v>
      </c>
      <c r="N85" s="114">
        <f t="shared" si="56"/>
        <v>19118.459999999995</v>
      </c>
      <c r="O85" s="114">
        <f t="shared" si="56"/>
        <v>1376.1549599999998</v>
      </c>
      <c r="P85" s="111">
        <f t="shared" si="53"/>
        <v>86021.859098857123</v>
      </c>
      <c r="Q85" s="92"/>
      <c r="R85" s="92"/>
      <c r="S85" s="92"/>
      <c r="T85" s="92"/>
      <c r="U85" s="92"/>
      <c r="V85" s="92"/>
    </row>
    <row r="86" spans="1:22">
      <c r="A86" s="23">
        <f t="shared" si="54"/>
        <v>86</v>
      </c>
      <c r="B86" s="191" t="s">
        <v>115</v>
      </c>
      <c r="C86" s="230"/>
      <c r="D86" s="222">
        <f t="shared" ref="D86:O86" si="57">ROUND(D85-D27,-1)</f>
        <v>0</v>
      </c>
      <c r="E86" s="114">
        <f t="shared" si="57"/>
        <v>0</v>
      </c>
      <c r="F86" s="114">
        <f t="shared" si="57"/>
        <v>0</v>
      </c>
      <c r="G86" s="114">
        <f t="shared" si="57"/>
        <v>0</v>
      </c>
      <c r="H86" s="114">
        <f t="shared" si="57"/>
        <v>0</v>
      </c>
      <c r="I86" s="114">
        <f t="shared" si="57"/>
        <v>0</v>
      </c>
      <c r="J86" s="114">
        <f t="shared" si="57"/>
        <v>5150</v>
      </c>
      <c r="K86" s="114">
        <f t="shared" si="57"/>
        <v>13920</v>
      </c>
      <c r="L86" s="114">
        <f t="shared" si="57"/>
        <v>14120</v>
      </c>
      <c r="M86" s="114">
        <f t="shared" si="57"/>
        <v>12340</v>
      </c>
      <c r="N86" s="114">
        <f t="shared" si="57"/>
        <v>14120</v>
      </c>
      <c r="O86" s="114">
        <f t="shared" si="57"/>
        <v>-3620</v>
      </c>
      <c r="P86" s="111"/>
      <c r="Q86" s="92"/>
      <c r="R86" s="92"/>
      <c r="S86" s="92"/>
      <c r="T86" s="92"/>
      <c r="U86" s="92"/>
      <c r="V86" s="92"/>
    </row>
    <row r="87" spans="1:22">
      <c r="A87" s="23">
        <f t="shared" si="54"/>
        <v>87</v>
      </c>
      <c r="B87" s="191" t="s">
        <v>103</v>
      </c>
      <c r="C87" s="230"/>
      <c r="D87" s="222">
        <f t="shared" ref="D87:O87" si="58">ROUND(D86*D26/100,0)</f>
        <v>0</v>
      </c>
      <c r="E87" s="114">
        <f t="shared" si="58"/>
        <v>0</v>
      </c>
      <c r="F87" s="114">
        <f t="shared" si="58"/>
        <v>0</v>
      </c>
      <c r="G87" s="114">
        <f t="shared" si="58"/>
        <v>0</v>
      </c>
      <c r="H87" s="114">
        <f t="shared" si="58"/>
        <v>0</v>
      </c>
      <c r="I87" s="114">
        <f t="shared" si="58"/>
        <v>0</v>
      </c>
      <c r="J87" s="114">
        <f t="shared" si="58"/>
        <v>2163</v>
      </c>
      <c r="K87" s="114">
        <f t="shared" si="58"/>
        <v>5846</v>
      </c>
      <c r="L87" s="114">
        <f t="shared" si="58"/>
        <v>5930</v>
      </c>
      <c r="M87" s="114">
        <f t="shared" si="58"/>
        <v>5183</v>
      </c>
      <c r="N87" s="114">
        <f t="shared" si="58"/>
        <v>5930</v>
      </c>
      <c r="O87" s="114">
        <f t="shared" si="58"/>
        <v>-1520</v>
      </c>
      <c r="P87" s="111">
        <f t="shared" si="53"/>
        <v>23532</v>
      </c>
      <c r="Q87" s="92"/>
      <c r="R87" s="92"/>
      <c r="S87" s="92"/>
      <c r="T87" s="92"/>
      <c r="U87" s="92"/>
      <c r="V87" s="92"/>
    </row>
    <row r="88" spans="1:22">
      <c r="A88" s="23">
        <f t="shared" si="54"/>
        <v>88</v>
      </c>
      <c r="B88" s="191" t="s">
        <v>207</v>
      </c>
      <c r="C88" s="243"/>
      <c r="D88" s="222">
        <f>SUM(D44:D63)</f>
        <v>0</v>
      </c>
      <c r="E88" s="114">
        <f>SUM(E44:E63)</f>
        <v>0</v>
      </c>
      <c r="F88" s="114">
        <f>SUM(F44:F63)</f>
        <v>0</v>
      </c>
      <c r="G88" s="114">
        <f>SUM(G44:G63)</f>
        <v>0</v>
      </c>
      <c r="H88" s="114">
        <f>SUM(H44:H63)</f>
        <v>0</v>
      </c>
      <c r="I88" s="143" t="s">
        <v>220</v>
      </c>
      <c r="J88" s="165"/>
      <c r="K88" s="165"/>
      <c r="L88" s="165"/>
      <c r="M88" s="165"/>
      <c r="N88" s="165"/>
      <c r="O88" s="165"/>
      <c r="P88" s="111">
        <f>SUM(C88:O88)</f>
        <v>0</v>
      </c>
      <c r="Q88" s="92"/>
      <c r="R88" s="92"/>
      <c r="S88" s="92"/>
      <c r="T88" s="92"/>
      <c r="U88" s="92"/>
      <c r="V88" s="92"/>
    </row>
    <row r="89" spans="1:22">
      <c r="A89" s="23">
        <f t="shared" si="54"/>
        <v>89</v>
      </c>
      <c r="B89" s="191" t="s">
        <v>341</v>
      </c>
      <c r="C89" s="233"/>
      <c r="D89" s="144" t="s">
        <v>220</v>
      </c>
      <c r="E89" s="165"/>
      <c r="F89" s="165"/>
      <c r="G89" s="165"/>
      <c r="H89" s="165"/>
      <c r="I89" s="114">
        <f>SUM(I44:I63)</f>
        <v>0</v>
      </c>
      <c r="J89" s="114">
        <f>SUM(J44:J63)</f>
        <v>11062.58464285714</v>
      </c>
      <c r="K89" s="114">
        <f>SUM(K44:K63)</f>
        <v>20650.169999999998</v>
      </c>
      <c r="L89" s="114">
        <f>SUM(L44:L63)</f>
        <v>20870.459999999995</v>
      </c>
      <c r="M89" s="114">
        <f>SUM(M44:M63)-M37</f>
        <v>18942.029495999996</v>
      </c>
      <c r="N89" s="114">
        <f>SUM(N44:N63)-N37</f>
        <v>20870.459999999995</v>
      </c>
      <c r="O89" s="114">
        <f>SUM(O44:O63)-O37</f>
        <v>1586.1549599999998</v>
      </c>
      <c r="P89" s="111">
        <f t="shared" si="53"/>
        <v>93981.859098857109</v>
      </c>
      <c r="Q89" s="92"/>
      <c r="R89" s="92"/>
      <c r="S89" s="92"/>
      <c r="T89" s="92"/>
      <c r="U89" s="92"/>
      <c r="V89" s="92"/>
    </row>
    <row r="90" spans="1:22">
      <c r="A90" s="23">
        <f t="shared" si="54"/>
        <v>90</v>
      </c>
      <c r="B90" s="191" t="s">
        <v>193</v>
      </c>
      <c r="C90" s="230"/>
      <c r="D90" s="222">
        <f>D81</f>
        <v>0</v>
      </c>
      <c r="E90" s="114">
        <f t="shared" ref="E90:O90" si="59">E81</f>
        <v>0</v>
      </c>
      <c r="F90" s="114">
        <f t="shared" si="59"/>
        <v>0</v>
      </c>
      <c r="G90" s="114">
        <f t="shared" si="59"/>
        <v>0</v>
      </c>
      <c r="H90" s="114">
        <f t="shared" si="59"/>
        <v>0</v>
      </c>
      <c r="I90" s="114">
        <f t="shared" si="59"/>
        <v>0</v>
      </c>
      <c r="J90" s="114">
        <f t="shared" si="59"/>
        <v>612.83999999999992</v>
      </c>
      <c r="K90" s="114">
        <f t="shared" si="59"/>
        <v>1143.98</v>
      </c>
      <c r="L90" s="114">
        <f t="shared" si="59"/>
        <v>1156.43</v>
      </c>
      <c r="M90" s="114">
        <f t="shared" si="59"/>
        <v>1049.5800000000002</v>
      </c>
      <c r="N90" s="114">
        <f t="shared" si="59"/>
        <v>1156.43</v>
      </c>
      <c r="O90" s="114">
        <f t="shared" si="59"/>
        <v>87.8900000000001</v>
      </c>
      <c r="P90" s="111">
        <f t="shared" si="53"/>
        <v>5207.1500000000005</v>
      </c>
      <c r="Q90" s="92"/>
      <c r="R90" s="92"/>
      <c r="S90" s="92"/>
      <c r="T90" s="92"/>
      <c r="U90" s="92"/>
      <c r="V90" s="92"/>
    </row>
    <row r="91" spans="1:22">
      <c r="A91" s="23">
        <f t="shared" si="54"/>
        <v>91</v>
      </c>
      <c r="B91" s="191" t="s">
        <v>197</v>
      </c>
      <c r="C91" s="230"/>
      <c r="D91" s="222">
        <f>D90*2</f>
        <v>0</v>
      </c>
      <c r="E91" s="114">
        <f t="shared" ref="E91:O91" si="60">E90*2</f>
        <v>0</v>
      </c>
      <c r="F91" s="114">
        <f t="shared" si="60"/>
        <v>0</v>
      </c>
      <c r="G91" s="114">
        <f t="shared" si="60"/>
        <v>0</v>
      </c>
      <c r="H91" s="114">
        <f t="shared" si="60"/>
        <v>0</v>
      </c>
      <c r="I91" s="114">
        <f t="shared" si="60"/>
        <v>0</v>
      </c>
      <c r="J91" s="114">
        <f t="shared" si="60"/>
        <v>1225.6799999999998</v>
      </c>
      <c r="K91" s="114">
        <f t="shared" si="60"/>
        <v>2287.96</v>
      </c>
      <c r="L91" s="114">
        <f t="shared" si="60"/>
        <v>2312.86</v>
      </c>
      <c r="M91" s="114">
        <f t="shared" si="60"/>
        <v>2099.1600000000003</v>
      </c>
      <c r="N91" s="114">
        <f t="shared" si="60"/>
        <v>2312.86</v>
      </c>
      <c r="O91" s="114">
        <f t="shared" si="60"/>
        <v>175.7800000000002</v>
      </c>
      <c r="P91" s="111">
        <f t="shared" si="53"/>
        <v>10414.300000000001</v>
      </c>
      <c r="Q91" s="92"/>
      <c r="R91" s="92"/>
      <c r="S91" s="92"/>
      <c r="T91" s="92"/>
      <c r="U91" s="92"/>
      <c r="V91" s="92"/>
    </row>
    <row r="92" spans="1:22">
      <c r="A92" s="23">
        <f t="shared" si="54"/>
        <v>92</v>
      </c>
      <c r="B92" s="191" t="s">
        <v>46</v>
      </c>
      <c r="C92" s="230"/>
      <c r="D92" s="222">
        <f>D94*2/3</f>
        <v>0</v>
      </c>
      <c r="E92" s="114">
        <f t="shared" ref="E92:O92" si="61">E94*2/3</f>
        <v>0</v>
      </c>
      <c r="F92" s="114">
        <f t="shared" si="61"/>
        <v>0</v>
      </c>
      <c r="G92" s="114">
        <f t="shared" si="61"/>
        <v>0</v>
      </c>
      <c r="H92" s="114">
        <f t="shared" si="61"/>
        <v>0</v>
      </c>
      <c r="I92" s="114">
        <f t="shared" si="61"/>
        <v>0</v>
      </c>
      <c r="J92" s="114">
        <f t="shared" si="61"/>
        <v>60</v>
      </c>
      <c r="K92" s="114">
        <f t="shared" si="61"/>
        <v>180</v>
      </c>
      <c r="L92" s="114">
        <f t="shared" si="61"/>
        <v>180</v>
      </c>
      <c r="M92" s="114">
        <f t="shared" si="61"/>
        <v>180</v>
      </c>
      <c r="N92" s="114">
        <f t="shared" si="61"/>
        <v>180</v>
      </c>
      <c r="O92" s="114">
        <f t="shared" si="61"/>
        <v>180</v>
      </c>
      <c r="P92" s="111">
        <f t="shared" si="53"/>
        <v>960</v>
      </c>
      <c r="Q92" s="92"/>
      <c r="R92" s="92"/>
      <c r="S92" s="92"/>
      <c r="T92" s="92"/>
      <c r="U92" s="92"/>
      <c r="V92" s="92"/>
    </row>
    <row r="93" spans="1:22">
      <c r="A93" s="23">
        <f t="shared" si="54"/>
        <v>93</v>
      </c>
      <c r="B93" s="191" t="s">
        <v>120</v>
      </c>
      <c r="C93" s="230"/>
      <c r="D93" s="222">
        <f>D90+D91</f>
        <v>0</v>
      </c>
      <c r="E93" s="114">
        <f t="shared" ref="E93:O93" si="62">E90+E91</f>
        <v>0</v>
      </c>
      <c r="F93" s="114">
        <f t="shared" si="62"/>
        <v>0</v>
      </c>
      <c r="G93" s="114">
        <f t="shared" si="62"/>
        <v>0</v>
      </c>
      <c r="H93" s="114">
        <f t="shared" si="62"/>
        <v>0</v>
      </c>
      <c r="I93" s="114">
        <f t="shared" si="62"/>
        <v>0</v>
      </c>
      <c r="J93" s="114">
        <f t="shared" si="62"/>
        <v>1838.5199999999998</v>
      </c>
      <c r="K93" s="114">
        <f t="shared" si="62"/>
        <v>3431.94</v>
      </c>
      <c r="L93" s="114">
        <f t="shared" si="62"/>
        <v>3469.29</v>
      </c>
      <c r="M93" s="114">
        <f t="shared" si="62"/>
        <v>3148.7400000000007</v>
      </c>
      <c r="N93" s="114">
        <f t="shared" si="62"/>
        <v>3469.29</v>
      </c>
      <c r="O93" s="114">
        <f t="shared" si="62"/>
        <v>263.6700000000003</v>
      </c>
      <c r="P93" s="111">
        <f t="shared" si="53"/>
        <v>15621.450000000003</v>
      </c>
      <c r="Q93" s="92"/>
      <c r="R93" s="92"/>
      <c r="S93" s="92"/>
      <c r="T93" s="92"/>
      <c r="U93" s="92"/>
      <c r="V93" s="92"/>
    </row>
    <row r="94" spans="1:22">
      <c r="A94" s="23">
        <f t="shared" si="54"/>
        <v>94</v>
      </c>
      <c r="B94" s="191" t="s">
        <v>121</v>
      </c>
      <c r="C94" s="230"/>
      <c r="D94" s="222">
        <f>57.6*(((D9*D3)&gt;=9/37)+((D9*D3)&gt;=18/37)+((D9*D3)&gt;=27/37))</f>
        <v>0</v>
      </c>
      <c r="E94" s="114">
        <f>57.6*(((E9*E3)&gt;=9/37)+((E9*E3)&gt;=18/37)+((E9*E3)&gt;=27/37))</f>
        <v>0</v>
      </c>
      <c r="F94" s="114">
        <f>57.6*(((F9*F3)&gt;=9/37)+((F9*F3)&gt;=18/37)+((F9*F3)&gt;=27/37))</f>
        <v>0</v>
      </c>
      <c r="G94" s="114">
        <f>57.6*(((G9*G3)&gt;=9/37)+((G9*G3)&gt;=18/37)+((G9*G3)&gt;=27/37))</f>
        <v>0</v>
      </c>
      <c r="H94" s="114">
        <f>57.6*(((H9*H3)&gt;=9/37)+((H9*H3)&gt;=18/37)+((H9*H3)&gt;=27/37))</f>
        <v>0</v>
      </c>
      <c r="I94" s="114">
        <f>90*(((I9*I3)&gt;=9/37)+((I9*I3)&gt;=18/37)+((I9*I3)&gt;=27/37))</f>
        <v>0</v>
      </c>
      <c r="J94" s="114">
        <f t="shared" ref="J94:O94" si="63">90*(((J9*J3)&gt;=9/37)+((J9*J3)&gt;=18/37)+((J9*J3)&gt;=27/37))</f>
        <v>90</v>
      </c>
      <c r="K94" s="114">
        <f t="shared" si="63"/>
        <v>270</v>
      </c>
      <c r="L94" s="114">
        <f t="shared" si="63"/>
        <v>270</v>
      </c>
      <c r="M94" s="114">
        <f t="shared" si="63"/>
        <v>270</v>
      </c>
      <c r="N94" s="114">
        <f t="shared" si="63"/>
        <v>270</v>
      </c>
      <c r="O94" s="114">
        <f t="shared" si="63"/>
        <v>270</v>
      </c>
      <c r="P94" s="111">
        <f t="shared" si="53"/>
        <v>1440</v>
      </c>
      <c r="Q94" s="92"/>
      <c r="R94" s="92"/>
      <c r="S94" s="92"/>
      <c r="T94" s="92"/>
      <c r="U94" s="92"/>
      <c r="V94" s="92"/>
    </row>
    <row r="95" spans="1:22">
      <c r="A95" s="23">
        <f t="shared" si="54"/>
        <v>95</v>
      </c>
      <c r="B95" s="191" t="s">
        <v>144</v>
      </c>
      <c r="C95" s="230"/>
      <c r="D95" s="222">
        <f t="shared" ref="D95:O95" si="64">IF(OR(LEFT(D6)="P",LEFT(D6)="E"),VLOOKUP(VALUE(MID(D6,2,2)),Skalalontabel,7,0)*D9/12*15%*MIN(1,D9)*D3,0)</f>
        <v>0</v>
      </c>
      <c r="E95" s="222">
        <f t="shared" si="64"/>
        <v>0</v>
      </c>
      <c r="F95" s="222">
        <f t="shared" si="64"/>
        <v>0</v>
      </c>
      <c r="G95" s="222">
        <f t="shared" si="64"/>
        <v>0</v>
      </c>
      <c r="H95" s="222">
        <f t="shared" si="64"/>
        <v>0</v>
      </c>
      <c r="I95" s="222">
        <f t="shared" si="64"/>
        <v>0</v>
      </c>
      <c r="J95" s="222">
        <f t="shared" si="64"/>
        <v>0</v>
      </c>
      <c r="K95" s="222">
        <f t="shared" si="64"/>
        <v>0</v>
      </c>
      <c r="L95" s="222">
        <f t="shared" si="64"/>
        <v>0</v>
      </c>
      <c r="M95" s="222">
        <f t="shared" si="64"/>
        <v>0</v>
      </c>
      <c r="N95" s="222">
        <f t="shared" si="64"/>
        <v>0</v>
      </c>
      <c r="O95" s="222">
        <f t="shared" si="64"/>
        <v>0</v>
      </c>
      <c r="P95" s="111">
        <f t="shared" si="53"/>
        <v>0</v>
      </c>
      <c r="Q95" s="92"/>
      <c r="R95" s="92"/>
      <c r="S95" s="92"/>
      <c r="T95" s="92"/>
      <c r="U95" s="92"/>
      <c r="V95" s="92"/>
    </row>
    <row r="96" spans="1:22">
      <c r="A96" s="23">
        <f t="shared" si="54"/>
        <v>96</v>
      </c>
      <c r="B96" s="191" t="s">
        <v>104</v>
      </c>
      <c r="C96" s="230"/>
      <c r="D96" s="222">
        <f>108.35*(D9&gt;=0.4054)</f>
        <v>0</v>
      </c>
      <c r="E96" s="114">
        <f t="shared" ref="E96:O96" si="65">108.35*(E9&gt;=0.4054)</f>
        <v>0</v>
      </c>
      <c r="F96" s="114">
        <f t="shared" si="65"/>
        <v>0</v>
      </c>
      <c r="G96" s="114">
        <f t="shared" si="65"/>
        <v>0</v>
      </c>
      <c r="H96" s="114">
        <f t="shared" si="65"/>
        <v>0</v>
      </c>
      <c r="I96" s="114">
        <f t="shared" si="65"/>
        <v>0</v>
      </c>
      <c r="J96" s="114">
        <f t="shared" si="65"/>
        <v>108.35</v>
      </c>
      <c r="K96" s="114">
        <f t="shared" si="65"/>
        <v>108.35</v>
      </c>
      <c r="L96" s="114">
        <f t="shared" si="65"/>
        <v>108.35</v>
      </c>
      <c r="M96" s="114">
        <f t="shared" si="65"/>
        <v>108.35</v>
      </c>
      <c r="N96" s="114">
        <f t="shared" si="65"/>
        <v>108.35</v>
      </c>
      <c r="O96" s="114">
        <f t="shared" si="65"/>
        <v>108.35</v>
      </c>
      <c r="P96" s="111">
        <f t="shared" si="53"/>
        <v>650.1</v>
      </c>
      <c r="Q96" s="92"/>
      <c r="R96" s="92"/>
      <c r="S96" s="92"/>
      <c r="T96" s="92"/>
      <c r="U96" s="92"/>
      <c r="V96" s="92"/>
    </row>
    <row r="97" spans="1:22">
      <c r="A97" s="23">
        <f t="shared" si="54"/>
        <v>97</v>
      </c>
      <c r="B97" s="192" t="s">
        <v>228</v>
      </c>
      <c r="C97" s="230"/>
      <c r="D97" s="223">
        <f>D65-(D87+D82+D84+D96)</f>
        <v>0</v>
      </c>
      <c r="E97" s="223">
        <f t="shared" ref="E97:O97" si="66">E65-(E87+E82+E84+E96)</f>
        <v>0</v>
      </c>
      <c r="F97" s="223">
        <f t="shared" si="66"/>
        <v>0</v>
      </c>
      <c r="G97" s="223">
        <f t="shared" si="66"/>
        <v>0</v>
      </c>
      <c r="H97" s="223">
        <f t="shared" si="66"/>
        <v>0</v>
      </c>
      <c r="I97" s="223">
        <f t="shared" si="66"/>
        <v>0</v>
      </c>
      <c r="J97" s="223">
        <f t="shared" si="66"/>
        <v>7878.23464285714</v>
      </c>
      <c r="K97" s="223">
        <f t="shared" si="66"/>
        <v>12960.819999999998</v>
      </c>
      <c r="L97" s="223">
        <f t="shared" si="66"/>
        <v>13080.109999999995</v>
      </c>
      <c r="M97" s="223">
        <f t="shared" si="66"/>
        <v>12052.679495999995</v>
      </c>
      <c r="N97" s="223">
        <f t="shared" si="66"/>
        <v>13080.109999999995</v>
      </c>
      <c r="O97" s="223">
        <f t="shared" si="66"/>
        <v>2787.8049599999999</v>
      </c>
      <c r="P97" s="119">
        <f>SUM(C97:O97)</f>
        <v>61839.759098857125</v>
      </c>
      <c r="Q97" s="91"/>
      <c r="R97" s="91"/>
      <c r="S97" s="92"/>
      <c r="T97" s="92"/>
      <c r="U97" s="92"/>
      <c r="V97" s="92"/>
    </row>
    <row r="98" spans="1:22">
      <c r="A98" s="23">
        <f t="shared" si="54"/>
        <v>98</v>
      </c>
      <c r="B98" s="121" t="s">
        <v>342</v>
      </c>
      <c r="C98" s="244"/>
      <c r="D98" s="142">
        <f>(SUM(D44:D63)+D81)*(1-12/260*D21)</f>
        <v>0</v>
      </c>
      <c r="E98" s="140">
        <f>(SUM(E44:E63)+E81)*(1-12/260*E21)</f>
        <v>0</v>
      </c>
      <c r="F98" s="140">
        <f>(SUM(F44:F63)+F81)*(1-12/260*F21)</f>
        <v>0</v>
      </c>
      <c r="G98" s="140">
        <f>(SUM(G44:G63)+G81)*(1-12/260*G21)</f>
        <v>0</v>
      </c>
      <c r="H98" s="146">
        <f>(SUM(H44:H63)+H81)*(1-12/260*H21)</f>
        <v>0</v>
      </c>
      <c r="I98" s="143" t="s">
        <v>233</v>
      </c>
      <c r="J98" s="123"/>
      <c r="K98" s="123"/>
      <c r="L98" s="123"/>
      <c r="M98" s="123"/>
      <c r="N98" s="123"/>
      <c r="O98" s="123"/>
      <c r="P98" s="111">
        <f t="shared" si="53"/>
        <v>0</v>
      </c>
      <c r="Q98" s="130"/>
      <c r="R98" s="130"/>
      <c r="S98" s="92"/>
      <c r="T98" s="92"/>
      <c r="U98" s="92"/>
      <c r="V98" s="92"/>
    </row>
    <row r="99" spans="1:22">
      <c r="A99" s="23">
        <f t="shared" si="54"/>
        <v>99</v>
      </c>
      <c r="B99" s="193" t="s">
        <v>208</v>
      </c>
      <c r="C99" s="233"/>
      <c r="D99" s="144" t="s">
        <v>233</v>
      </c>
      <c r="E99" s="139"/>
      <c r="F99" s="139"/>
      <c r="G99" s="139"/>
      <c r="H99" s="141"/>
      <c r="I99" s="142">
        <f>(SUM(I$44:I$63)+I$81)*(1-12/260*I$21)</f>
        <v>0</v>
      </c>
      <c r="J99" s="140">
        <f>(SUM(J$44:J$63)+J$81)*(1-12/260*J$21)</f>
        <v>11675.42464285714</v>
      </c>
      <c r="K99" s="140">
        <f>(SUM(K$44:K$63)+K$81)*(1-12/260*K$21)</f>
        <v>21794.149999999998</v>
      </c>
      <c r="L99" s="140">
        <f>(SUM(L$44:L$63)+L$81)*(1-12/260*L$21)</f>
        <v>22026.889999999996</v>
      </c>
      <c r="M99" s="140">
        <f>(SUM(M$44:M$63)-M37+M$81)*(1-12/260*M$21)</f>
        <v>19991.609495999997</v>
      </c>
      <c r="N99" s="140">
        <f>(SUM(N$44:N$63)-N37+N$81)*(1-12/260*N$21)</f>
        <v>22026.889999999996</v>
      </c>
      <c r="O99" s="140">
        <f>(SUM(O$44:O$63)-O37+O$81)*(1-12/260*O$21)</f>
        <v>128.77268923076915</v>
      </c>
      <c r="P99" s="145">
        <f t="shared" si="53"/>
        <v>97643.736828087902</v>
      </c>
      <c r="Q99" s="130"/>
      <c r="R99" s="130"/>
      <c r="S99" s="92"/>
      <c r="T99" s="92"/>
      <c r="U99" s="92"/>
      <c r="V99" s="92"/>
    </row>
    <row r="100" spans="1:22" s="124" customFormat="1">
      <c r="A100" s="23">
        <f t="shared" si="54"/>
        <v>100</v>
      </c>
      <c r="B100" s="136" t="s">
        <v>234</v>
      </c>
      <c r="C100" s="231"/>
      <c r="D100" s="224">
        <f>IF(D9&gt;0,(D44+D45+D52+D53+D54+D55+D56+D57)/D9,0)</f>
        <v>0</v>
      </c>
      <c r="E100" s="137">
        <f t="shared" ref="E100:O100" si="67">IF(E9&gt;0,(E44+E45+E52+E53+E54+E55+E56+E57)/E9,0)</f>
        <v>0</v>
      </c>
      <c r="F100" s="137">
        <f t="shared" si="67"/>
        <v>0</v>
      </c>
      <c r="G100" s="137">
        <f t="shared" si="67"/>
        <v>0</v>
      </c>
      <c r="H100" s="137">
        <f t="shared" si="67"/>
        <v>0</v>
      </c>
      <c r="I100" s="137">
        <f t="shared" si="67"/>
        <v>0</v>
      </c>
      <c r="J100" s="137">
        <f t="shared" si="67"/>
        <v>12900.074999999997</v>
      </c>
      <c r="K100" s="137">
        <f t="shared" si="67"/>
        <v>24080.162499999999</v>
      </c>
      <c r="L100" s="137">
        <f t="shared" si="67"/>
        <v>24338.224999999995</v>
      </c>
      <c r="M100" s="137">
        <f t="shared" si="67"/>
        <v>24338.224999999995</v>
      </c>
      <c r="N100" s="137">
        <f t="shared" si="67"/>
        <v>24338.224999999995</v>
      </c>
      <c r="O100" s="137">
        <f t="shared" si="67"/>
        <v>24338.224999999995</v>
      </c>
      <c r="P100" s="138"/>
      <c r="Q100" s="92"/>
      <c r="R100" s="92"/>
      <c r="S100" s="92"/>
      <c r="T100" s="92"/>
      <c r="U100" s="92"/>
      <c r="V100" s="92"/>
    </row>
    <row r="101" spans="1:22" s="124" customFormat="1" ht="13" thickBot="1">
      <c r="A101" s="23">
        <f>A100+1</f>
        <v>101</v>
      </c>
      <c r="B101" s="124" t="s">
        <v>268</v>
      </c>
      <c r="C101" s="231"/>
      <c r="D101" s="125">
        <f>IF(D9&gt;0,(D66+D73+D74+D76+D77)/D9,0)</f>
        <v>0</v>
      </c>
      <c r="E101" s="125">
        <f t="shared" ref="E101:O101" si="68">IF(E9&gt;0,(E66+E73+E74+E76+E77)/E9,0)</f>
        <v>0</v>
      </c>
      <c r="F101" s="125">
        <f t="shared" si="68"/>
        <v>0</v>
      </c>
      <c r="G101" s="125">
        <f t="shared" si="68"/>
        <v>0</v>
      </c>
      <c r="H101" s="125">
        <f t="shared" si="68"/>
        <v>0</v>
      </c>
      <c r="I101" s="125">
        <f t="shared" si="68"/>
        <v>0</v>
      </c>
      <c r="J101" s="125">
        <f t="shared" si="68"/>
        <v>718.96249999999986</v>
      </c>
      <c r="K101" s="125">
        <f t="shared" si="68"/>
        <v>1342.075</v>
      </c>
      <c r="L101" s="125">
        <f t="shared" si="68"/>
        <v>1356.6875</v>
      </c>
      <c r="M101" s="125">
        <f t="shared" si="68"/>
        <v>1356.6875</v>
      </c>
      <c r="N101" s="125">
        <f t="shared" si="68"/>
        <v>1356.6875</v>
      </c>
      <c r="O101" s="125">
        <f t="shared" si="68"/>
        <v>1356.6875</v>
      </c>
      <c r="P101" s="126"/>
      <c r="Q101" s="92"/>
      <c r="R101" s="92"/>
      <c r="S101" s="92"/>
      <c r="T101" s="92"/>
      <c r="U101" s="92"/>
      <c r="V101" s="92"/>
    </row>
    <row r="102" spans="1:22" ht="13" thickTop="1">
      <c r="A102" s="132">
        <f>A101+1</f>
        <v>102</v>
      </c>
      <c r="B102" s="133" t="s">
        <v>97</v>
      </c>
      <c r="C102" s="232"/>
      <c r="D102" s="225">
        <f t="shared" ref="D102:K102" si="69">IF(LEFT(D$4)&lt;&gt;"b",IF(D$10&gt;=650,650*ROUND(12.5*D$7,2)/12,D$10*ROUND(12.5*D$7,2)/12),IF(D$10&gt;=750,750*ROUND(17.1*D$7,2)/12,D$10*ROUND(17.1*D$7,2)/12))</f>
        <v>0</v>
      </c>
      <c r="E102" s="157">
        <f t="shared" si="69"/>
        <v>0</v>
      </c>
      <c r="F102" s="157">
        <f t="shared" si="69"/>
        <v>0</v>
      </c>
      <c r="G102" s="157">
        <f t="shared" si="69"/>
        <v>0</v>
      </c>
      <c r="H102" s="157">
        <f t="shared" si="69"/>
        <v>0</v>
      </c>
      <c r="I102" s="157">
        <f t="shared" si="69"/>
        <v>0</v>
      </c>
      <c r="J102" s="157">
        <f t="shared" si="69"/>
        <v>1219.3500000000001</v>
      </c>
      <c r="K102" s="157">
        <f t="shared" si="69"/>
        <v>1219.3500000000001</v>
      </c>
      <c r="L102" s="157">
        <f>IF(LEFT(L$4)&lt;&gt;"b",IF(L$10&gt;=650,650*ROUND(12.5*L$7,2)/12,L$10*ROUND(12.5*L$7,2)/12),IF(L$10&gt;=750,750*ROUND(17.1*L$7,2)/12,L$10*ROUND(17.1*L$7,2)/12))</f>
        <v>1232.55</v>
      </c>
      <c r="M102" s="157">
        <f>IF(LEFT(M$4)&lt;&gt;"b",IF(M$10&gt;=650,650*ROUND(12.5*M$7,2)/12,M$10*ROUND(12.5*M$7,2)/12),IF(M$10&gt;=750,750*ROUND(17.1*M$7,2)/12,M$10*ROUND(17.1*M$7,2)/12))</f>
        <v>1232.55</v>
      </c>
      <c r="N102" s="157">
        <f>IF(LEFT(N$4)&lt;&gt;"b",IF(N$10&gt;=650,650*ROUND(12.5*N$7,2)/12,N$10*ROUND(12.5*N$7,2)/12),IF(N$10&gt;=750,750*ROUND(17.1*N$7,2)/12,N$10*ROUND(17.1*N$7,2)/12))</f>
        <v>1232.55</v>
      </c>
      <c r="O102" s="157">
        <f>IF(LEFT(O$4)&lt;&gt;"b",IF(O$10&gt;=650,650*ROUND(12.5*O$7,2)/12,O$10*ROUND(12.5*O$7,2)/12),IF(O$10&gt;=750,750*ROUND(17.1*O$7,2)/12,O$10*ROUND(17.1*O$7,2)/12))</f>
        <v>1232.55</v>
      </c>
      <c r="P102" s="134" t="s">
        <v>199</v>
      </c>
      <c r="Q102" s="92"/>
      <c r="R102" s="92"/>
      <c r="S102" s="92"/>
      <c r="T102" s="92"/>
      <c r="U102" s="92"/>
      <c r="V102" s="92"/>
    </row>
    <row r="103" spans="1:22">
      <c r="A103" s="23">
        <f>A102+1</f>
        <v>103</v>
      </c>
      <c r="B103" s="194" t="s">
        <v>98</v>
      </c>
      <c r="C103" s="232"/>
      <c r="D103" s="226">
        <f t="shared" ref="D103:K103" si="70">IF(LEFT(D$4)&lt;&gt;"b",IF(D$10&gt;650,IF(D$10&gt;=700,50*ROUND(75*D$7,2)/12,(D$10-650)*ROUND(75*D$7,2)/12),0),IF(D$10&gt;750,IF(D$10&gt;=800,50*ROUND(50*D$7,2)/12,(D$10-750)*ROUND(50*D$7,2)/12),0))</f>
        <v>0</v>
      </c>
      <c r="E103" s="115">
        <f t="shared" si="70"/>
        <v>0</v>
      </c>
      <c r="F103" s="115">
        <f t="shared" si="70"/>
        <v>0</v>
      </c>
      <c r="G103" s="115">
        <f t="shared" si="70"/>
        <v>0</v>
      </c>
      <c r="H103" s="115">
        <f t="shared" si="70"/>
        <v>0</v>
      </c>
      <c r="I103" s="115">
        <f t="shared" si="70"/>
        <v>0</v>
      </c>
      <c r="J103" s="115">
        <f t="shared" si="70"/>
        <v>0</v>
      </c>
      <c r="K103" s="115">
        <f t="shared" si="70"/>
        <v>0</v>
      </c>
      <c r="L103" s="115">
        <f>IF(LEFT(L$4)&lt;&gt;"b",IF(L$10&gt;650,IF(L$10&gt;=700,50*ROUND(75*L$7,2)/12,(L$10-650)*ROUND(75*L$7,2)/12),0),IF(L$10&gt;750,IF(L$10&gt;=800,50*ROUND(50*L$7,2)/12,(L$10-750)*ROUND(50*L$7,2)/12),0))</f>
        <v>0</v>
      </c>
      <c r="M103" s="115">
        <f>IF(LEFT(M$4)&lt;&gt;"b",IF(M$10&gt;650,IF(M$10&gt;=700,50*ROUND(75*M$7,2)/12,(M$10-650)*ROUND(75*M$7,2)/12),0),IF(M$10&gt;750,IF(M$10&gt;=800,50*ROUND(50*M$7,2)/12,(M$10-750)*ROUND(50*M$7,2)/12),0))</f>
        <v>0</v>
      </c>
      <c r="N103" s="115">
        <f>IF(LEFT(N$4)&lt;&gt;"b",IF(N$10&gt;650,IF(N$10&gt;=700,50*ROUND(75*N$7,2)/12,(N$10-650)*ROUND(75*N$7,2)/12),0),IF(N$10&gt;750,IF(N$10&gt;=800,50*ROUND(50*N$7,2)/12,(N$10-750)*ROUND(50*N$7,2)/12),0))</f>
        <v>0</v>
      </c>
      <c r="O103" s="115">
        <f>IF(LEFT(O$4)&lt;&gt;"b",IF(O$10&gt;650,IF(O$10&gt;=700,50*ROUND(75*O$7,2)/12,(O$10-650)*ROUND(75*O$7,2)/12),0),IF(O$10&gt;750,IF(O$10&gt;=800,50*ROUND(50*O$7,2)/12,(O$10-750)*ROUND(50*O$7,2)/12),0))</f>
        <v>0</v>
      </c>
      <c r="P103" s="116" t="s">
        <v>199</v>
      </c>
      <c r="Q103" s="92"/>
      <c r="R103" s="92"/>
      <c r="S103" s="92"/>
      <c r="T103" s="92"/>
      <c r="U103" s="92"/>
      <c r="V103" s="92"/>
    </row>
    <row r="104" spans="1:22">
      <c r="A104" s="23">
        <f>A103+1</f>
        <v>104</v>
      </c>
      <c r="B104" s="194" t="s">
        <v>179</v>
      </c>
      <c r="C104" s="232"/>
      <c r="D104" s="226">
        <f t="shared" ref="D104:K104" si="71">IF(LEFT(D$4)&lt;&gt;"b",IF(D$10&gt;700,IF(D$10&gt;=750,50*ROUND(100*D$7,2)/12,(D$10-700)*ROUND(100*D$7,2)/12),0),IF(D$10&gt;800,IF(D$10&gt;=835,35*ROUND(100*D$7,2)/12,(D$10-800)*ROUND(100*D$7,2)/12),0))</f>
        <v>0</v>
      </c>
      <c r="E104" s="115">
        <f t="shared" si="71"/>
        <v>0</v>
      </c>
      <c r="F104" s="115">
        <f t="shared" si="71"/>
        <v>0</v>
      </c>
      <c r="G104" s="115">
        <f t="shared" si="71"/>
        <v>0</v>
      </c>
      <c r="H104" s="115">
        <f t="shared" si="71"/>
        <v>0</v>
      </c>
      <c r="I104" s="115">
        <f t="shared" si="71"/>
        <v>0</v>
      </c>
      <c r="J104" s="115">
        <f t="shared" si="71"/>
        <v>0</v>
      </c>
      <c r="K104" s="115">
        <f t="shared" si="71"/>
        <v>0</v>
      </c>
      <c r="L104" s="115">
        <f>IF(LEFT(L$4)&lt;&gt;"b",IF(L$10&gt;700,IF(L$10&gt;=750,50*ROUND(100*L$7,2)/12,(L$10-700)*ROUND(100*L$7,2)/12),0),IF(L$10&gt;800,IF(L$10&gt;=835,35*ROUND(100*L$7,2)/12,(L$10-800)*ROUND(100*L$7,2)/12),0))</f>
        <v>0</v>
      </c>
      <c r="M104" s="115">
        <f>IF(LEFT(M$4)&lt;&gt;"b",IF(M$10&gt;700,IF(M$10&gt;=750,50*ROUND(100*M$7,2)/12,(M$10-700)*ROUND(100*M$7,2)/12),0),IF(M$10&gt;800,IF(M$10&gt;=835,35*ROUND(100*M$7,2)/12,(M$10-800)*ROUND(100*M$7,2)/12),0))</f>
        <v>0</v>
      </c>
      <c r="N104" s="115">
        <f>IF(LEFT(N$4)&lt;&gt;"b",IF(N$10&gt;700,IF(N$10&gt;=750,50*ROUND(100*N$7,2)/12,(N$10-700)*ROUND(100*N$7,2)/12),0),IF(N$10&gt;800,IF(N$10&gt;=835,35*ROUND(100*N$7,2)/12,(N$10-800)*ROUND(100*N$7,2)/12),0))</f>
        <v>0</v>
      </c>
      <c r="O104" s="115">
        <f>IF(LEFT(O$4)&lt;&gt;"b",IF(O$10&gt;700,IF(O$10&gt;=750,50*ROUND(100*O$7,2)/12,(O$10-700)*ROUND(100*O$7,2)/12),0),IF(O$10&gt;800,IF(O$10&gt;=835,35*ROUND(100*O$7,2)/12,(O$10-800)*ROUND(100*O$7,2)/12),0))</f>
        <v>0</v>
      </c>
      <c r="P104" s="116" t="s">
        <v>199</v>
      </c>
      <c r="Q104" s="92"/>
      <c r="R104" s="92"/>
      <c r="S104" s="92"/>
      <c r="T104" s="92"/>
      <c r="U104" s="92"/>
      <c r="V104" s="92"/>
    </row>
    <row r="105" spans="1:22">
      <c r="A105" s="23">
        <f>A104+1</f>
        <v>105</v>
      </c>
      <c r="B105" s="195" t="s">
        <v>180</v>
      </c>
      <c r="C105" s="232"/>
      <c r="D105" s="227">
        <f t="shared" ref="D105:K105" si="72">IF(LEFT(D$4)&lt;&gt;"b",IF(D$10&gt;750,(D$10-750)*ROUND(125*D$7,2)/12,0),IF(D$10&gt;835,(D$10-835)*ROUND(125*D$7,2)/12,0))</f>
        <v>0</v>
      </c>
      <c r="E105" s="117">
        <f t="shared" si="72"/>
        <v>0</v>
      </c>
      <c r="F105" s="117">
        <f t="shared" si="72"/>
        <v>0</v>
      </c>
      <c r="G105" s="117">
        <f t="shared" si="72"/>
        <v>0</v>
      </c>
      <c r="H105" s="117">
        <f t="shared" si="72"/>
        <v>0</v>
      </c>
      <c r="I105" s="117">
        <f t="shared" si="72"/>
        <v>0</v>
      </c>
      <c r="J105" s="117">
        <f t="shared" si="72"/>
        <v>0</v>
      </c>
      <c r="K105" s="117">
        <f t="shared" si="72"/>
        <v>0</v>
      </c>
      <c r="L105" s="117">
        <f>IF(LEFT(L$4)&lt;&gt;"b",IF(L$10&gt;750,(L$10-750)*ROUND(125*L$7,2)/12,0),IF(L$10&gt;835,(L$10-835)*ROUND(125*L$7,2)/12,0))</f>
        <v>0</v>
      </c>
      <c r="M105" s="117">
        <f>IF(LEFT(M$4)&lt;&gt;"b",IF(M$10&gt;750,(M$10-750)*ROUND(125*M$7,2)/12,0),IF(M$10&gt;835,(M$10-835)*ROUND(125*M$7,2)/12,0))</f>
        <v>0</v>
      </c>
      <c r="N105" s="117">
        <f>IF(LEFT(N$4)&lt;&gt;"b",IF(N$10&gt;750,(N$10-750)*ROUND(125*N$7,2)/12,0),IF(N$10&gt;835,(N$10-835)*ROUND(125*N$7,2)/12,0))</f>
        <v>0</v>
      </c>
      <c r="O105" s="117">
        <f>IF(LEFT(O$4)&lt;&gt;"b",IF(O$10&gt;750,(O$10-750)*ROUND(125*O$7,2)/12,0),IF(O$10&gt;835,(O$10-835)*ROUND(125*O$7,2)/12,0))</f>
        <v>0</v>
      </c>
      <c r="P105" s="118" t="s">
        <v>199</v>
      </c>
      <c r="Q105" s="92"/>
      <c r="R105" s="92"/>
      <c r="S105" s="92"/>
      <c r="T105" s="92"/>
      <c r="U105" s="92"/>
      <c r="V105" s="92"/>
    </row>
    <row r="106" spans="1:22">
      <c r="C106" s="245"/>
      <c r="Q106" s="92"/>
      <c r="R106" s="92"/>
      <c r="S106" s="92"/>
      <c r="T106" s="92"/>
      <c r="U106" s="92"/>
      <c r="V106" s="92"/>
    </row>
    <row r="107" spans="1:22" s="127" customFormat="1">
      <c r="A107" s="91"/>
      <c r="B107" s="92"/>
      <c r="C107" s="92"/>
      <c r="D107" s="120"/>
      <c r="E107" s="120"/>
      <c r="F107" s="120"/>
      <c r="G107" s="120"/>
      <c r="H107" s="120"/>
      <c r="I107" s="120"/>
      <c r="J107" s="120"/>
      <c r="K107" s="120"/>
      <c r="L107" s="120"/>
      <c r="M107" s="120"/>
      <c r="N107" s="120"/>
      <c r="O107" s="120"/>
      <c r="P107" s="90"/>
      <c r="Q107" s="92"/>
      <c r="R107" s="92"/>
      <c r="S107" s="92"/>
      <c r="T107" s="92"/>
      <c r="U107" s="92"/>
      <c r="V107" s="92"/>
    </row>
    <row r="108" spans="1:22" s="127" customFormat="1">
      <c r="A108" s="91"/>
      <c r="B108" s="92"/>
      <c r="C108" s="92"/>
      <c r="D108" s="120"/>
      <c r="E108" s="93"/>
      <c r="F108" s="93"/>
      <c r="G108" s="93"/>
      <c r="H108" s="93"/>
      <c r="I108" s="93"/>
      <c r="J108" s="93"/>
      <c r="K108" s="93"/>
      <c r="L108" s="93"/>
      <c r="M108" s="93"/>
      <c r="N108" s="93"/>
      <c r="O108" s="93"/>
      <c r="P108" s="90"/>
      <c r="Q108" s="92"/>
      <c r="R108" s="92"/>
      <c r="S108" s="92"/>
      <c r="T108" s="92"/>
      <c r="U108" s="92"/>
      <c r="V108" s="92"/>
    </row>
    <row r="109" spans="1:22" s="127" customFormat="1">
      <c r="A109" s="91"/>
      <c r="B109" s="92"/>
      <c r="C109" s="92"/>
      <c r="D109" s="93"/>
      <c r="E109" s="93"/>
      <c r="F109" s="93"/>
      <c r="G109" s="93"/>
      <c r="H109" s="93"/>
      <c r="I109" s="93"/>
      <c r="J109" s="93"/>
      <c r="K109" s="93"/>
      <c r="L109" s="93"/>
      <c r="M109" s="93"/>
      <c r="N109" s="93"/>
      <c r="O109" s="93"/>
      <c r="P109" s="90"/>
      <c r="Q109" s="92"/>
      <c r="R109" s="92"/>
      <c r="S109" s="92"/>
      <c r="T109" s="92"/>
      <c r="U109" s="92"/>
      <c r="V109" s="92"/>
    </row>
    <row r="110" spans="1:22" s="127" customFormat="1">
      <c r="A110" s="91"/>
      <c r="B110" s="92"/>
      <c r="C110" s="92"/>
      <c r="D110" s="93"/>
      <c r="E110" s="93"/>
      <c r="F110" s="93"/>
      <c r="G110" s="93"/>
      <c r="H110" s="93"/>
      <c r="I110" s="93"/>
      <c r="J110" s="93"/>
      <c r="K110" s="93"/>
      <c r="L110" s="93"/>
      <c r="M110" s="93"/>
      <c r="N110" s="93"/>
      <c r="O110" s="93"/>
      <c r="P110" s="90"/>
      <c r="Q110" s="92"/>
      <c r="R110" s="92"/>
      <c r="S110" s="92"/>
      <c r="T110" s="92"/>
      <c r="U110" s="92"/>
      <c r="V110" s="92"/>
    </row>
    <row r="111" spans="1:22" s="127" customFormat="1">
      <c r="A111" s="91"/>
      <c r="B111" s="92"/>
      <c r="C111" s="92"/>
      <c r="D111" s="93"/>
      <c r="E111" s="93"/>
      <c r="F111" s="93"/>
      <c r="G111" s="93"/>
      <c r="H111" s="93"/>
      <c r="I111" s="93"/>
      <c r="J111" s="93"/>
      <c r="K111" s="93"/>
      <c r="L111" s="93"/>
      <c r="M111" s="93"/>
      <c r="N111" s="93"/>
      <c r="O111" s="93"/>
      <c r="P111" s="90"/>
      <c r="Q111" s="92"/>
      <c r="R111" s="92"/>
      <c r="S111" s="92"/>
      <c r="T111" s="92"/>
      <c r="U111" s="92"/>
      <c r="V111" s="92"/>
    </row>
    <row r="112" spans="1:22">
      <c r="A112" s="85"/>
      <c r="B112" s="86"/>
      <c r="C112" s="86"/>
      <c r="D112" s="87"/>
      <c r="E112" s="87"/>
      <c r="F112" s="87"/>
      <c r="G112" s="87"/>
      <c r="H112" s="87"/>
      <c r="I112" s="87"/>
      <c r="J112" s="87"/>
      <c r="K112" s="87"/>
      <c r="L112" s="87"/>
      <c r="M112" s="87"/>
      <c r="N112" s="87"/>
      <c r="O112" s="87"/>
      <c r="P112" s="88"/>
    </row>
    <row r="113" spans="1:16">
      <c r="A113" s="85"/>
      <c r="B113" s="86"/>
      <c r="C113" s="86"/>
      <c r="D113" s="87"/>
      <c r="E113" s="87"/>
      <c r="F113" s="87"/>
      <c r="G113" s="87"/>
      <c r="H113" s="87"/>
      <c r="I113" s="87"/>
      <c r="J113" s="87"/>
      <c r="K113" s="87"/>
      <c r="L113" s="87"/>
      <c r="M113" s="87"/>
      <c r="N113" s="87"/>
      <c r="O113" s="87"/>
      <c r="P113" s="88"/>
    </row>
    <row r="114" spans="1:16">
      <c r="A114" s="85"/>
      <c r="B114" s="86"/>
      <c r="C114" s="86"/>
      <c r="D114" s="87"/>
      <c r="E114" s="87"/>
      <c r="F114" s="87"/>
      <c r="G114" s="87"/>
      <c r="H114" s="87"/>
      <c r="I114" s="87"/>
      <c r="J114" s="87"/>
      <c r="K114" s="87"/>
      <c r="L114" s="87"/>
      <c r="M114" s="87"/>
      <c r="N114" s="87"/>
      <c r="O114" s="87"/>
      <c r="P114" s="88"/>
    </row>
    <row r="115" spans="1:16">
      <c r="A115" s="85"/>
      <c r="B115" s="86"/>
      <c r="C115" s="86"/>
      <c r="D115" s="87"/>
      <c r="E115" s="87"/>
      <c r="F115" s="87"/>
      <c r="G115" s="87"/>
      <c r="H115" s="87"/>
      <c r="I115" s="87"/>
      <c r="J115" s="87"/>
      <c r="K115" s="87"/>
      <c r="L115" s="87"/>
      <c r="M115" s="87"/>
      <c r="N115" s="87"/>
      <c r="O115" s="87"/>
      <c r="P115" s="88"/>
    </row>
    <row r="116" spans="1:16">
      <c r="A116" s="85"/>
      <c r="B116" s="86"/>
      <c r="C116" s="86"/>
      <c r="D116" s="87"/>
      <c r="E116" s="87"/>
      <c r="F116" s="87"/>
      <c r="G116" s="87"/>
      <c r="H116" s="87"/>
      <c r="I116" s="87"/>
      <c r="J116" s="87"/>
      <c r="K116" s="87"/>
      <c r="L116" s="87"/>
      <c r="M116" s="87"/>
      <c r="N116" s="87"/>
      <c r="O116" s="87"/>
      <c r="P116" s="88"/>
    </row>
    <row r="117" spans="1:16">
      <c r="A117" s="85"/>
      <c r="B117" s="86"/>
      <c r="C117" s="86"/>
      <c r="D117" s="87"/>
      <c r="E117" s="87"/>
      <c r="F117" s="87"/>
      <c r="G117" s="87"/>
      <c r="H117" s="87"/>
      <c r="I117" s="87"/>
      <c r="J117" s="87"/>
      <c r="K117" s="87"/>
      <c r="L117" s="87"/>
      <c r="M117" s="87"/>
      <c r="N117" s="87"/>
      <c r="O117" s="87"/>
      <c r="P117" s="88"/>
    </row>
    <row r="118" spans="1:16">
      <c r="A118" s="85"/>
      <c r="B118" s="86"/>
      <c r="C118" s="86"/>
      <c r="D118" s="87"/>
      <c r="E118" s="87"/>
      <c r="F118" s="87"/>
      <c r="G118" s="87"/>
      <c r="H118" s="87"/>
      <c r="I118" s="87"/>
      <c r="J118" s="87"/>
      <c r="K118" s="87"/>
      <c r="L118" s="87"/>
      <c r="M118" s="87"/>
      <c r="N118" s="87"/>
      <c r="O118" s="87"/>
      <c r="P118" s="88"/>
    </row>
    <row r="119" spans="1:16">
      <c r="A119" s="85"/>
      <c r="B119" s="86"/>
      <c r="C119" s="86"/>
      <c r="D119" s="87"/>
      <c r="E119" s="87"/>
      <c r="F119" s="87"/>
      <c r="G119" s="87"/>
      <c r="H119" s="87"/>
      <c r="I119" s="87"/>
      <c r="J119" s="87"/>
      <c r="K119" s="87"/>
      <c r="L119" s="87"/>
      <c r="M119" s="87"/>
      <c r="N119" s="87"/>
      <c r="O119" s="87"/>
      <c r="P119" s="88"/>
    </row>
    <row r="120" spans="1:16">
      <c r="A120" s="85"/>
      <c r="B120" s="86"/>
      <c r="C120" s="86"/>
      <c r="D120" s="87"/>
      <c r="E120" s="87"/>
      <c r="F120" s="87"/>
      <c r="G120" s="87"/>
      <c r="H120" s="87"/>
      <c r="I120" s="87"/>
      <c r="J120" s="87"/>
      <c r="K120" s="87"/>
      <c r="L120" s="87"/>
      <c r="M120" s="87"/>
      <c r="N120" s="87"/>
      <c r="O120" s="87"/>
      <c r="P120" s="88"/>
    </row>
    <row r="121" spans="1:16">
      <c r="A121" s="85"/>
      <c r="B121" s="86"/>
      <c r="C121" s="86"/>
      <c r="D121" s="87"/>
      <c r="E121" s="87"/>
      <c r="F121" s="87"/>
      <c r="G121" s="87"/>
      <c r="H121" s="87"/>
      <c r="I121" s="87"/>
      <c r="J121" s="87"/>
      <c r="K121" s="87"/>
      <c r="L121" s="87"/>
      <c r="M121" s="87"/>
      <c r="N121" s="87"/>
      <c r="O121" s="87"/>
      <c r="P121" s="88"/>
    </row>
    <row r="122" spans="1:16">
      <c r="A122" s="85"/>
      <c r="B122" s="86"/>
      <c r="C122" s="86"/>
      <c r="D122" s="87"/>
      <c r="E122" s="87"/>
      <c r="F122" s="87"/>
      <c r="G122" s="87"/>
      <c r="H122" s="87"/>
      <c r="I122" s="87"/>
      <c r="J122" s="87"/>
      <c r="K122" s="87"/>
      <c r="L122" s="87"/>
      <c r="M122" s="87"/>
      <c r="N122" s="87"/>
      <c r="O122" s="87"/>
      <c r="P122" s="88"/>
    </row>
    <row r="123" spans="1:16">
      <c r="A123" s="85"/>
      <c r="B123" s="86"/>
      <c r="C123" s="86"/>
      <c r="D123" s="87"/>
      <c r="E123" s="87"/>
      <c r="F123" s="87"/>
      <c r="G123" s="87"/>
      <c r="H123" s="87"/>
      <c r="I123" s="87"/>
      <c r="J123" s="87"/>
      <c r="K123" s="87"/>
      <c r="L123" s="87"/>
      <c r="M123" s="87"/>
      <c r="N123" s="87"/>
      <c r="O123" s="87"/>
      <c r="P123" s="88"/>
    </row>
    <row r="124" spans="1:16">
      <c r="A124" s="85"/>
      <c r="B124" s="86"/>
      <c r="C124" s="86"/>
      <c r="D124" s="87"/>
      <c r="E124" s="87"/>
      <c r="F124" s="87"/>
      <c r="G124" s="87"/>
      <c r="H124" s="87"/>
      <c r="I124" s="87"/>
      <c r="J124" s="87"/>
      <c r="K124" s="87"/>
      <c r="L124" s="87"/>
      <c r="M124" s="87"/>
      <c r="N124" s="87"/>
      <c r="O124" s="87"/>
      <c r="P124" s="88"/>
    </row>
    <row r="125" spans="1:16">
      <c r="A125" s="85"/>
      <c r="B125" s="86"/>
      <c r="C125" s="86"/>
      <c r="D125" s="87"/>
      <c r="E125" s="87"/>
      <c r="F125" s="87"/>
      <c r="G125" s="87"/>
      <c r="H125" s="87"/>
      <c r="I125" s="87"/>
      <c r="J125" s="87"/>
      <c r="K125" s="87"/>
      <c r="L125" s="87"/>
      <c r="M125" s="87"/>
      <c r="N125" s="87"/>
      <c r="O125" s="87"/>
      <c r="P125" s="88"/>
    </row>
    <row r="126" spans="1:16">
      <c r="A126" s="85"/>
      <c r="B126" s="86"/>
      <c r="C126" s="86"/>
      <c r="D126" s="87"/>
      <c r="E126" s="87"/>
      <c r="F126" s="87"/>
      <c r="G126" s="87"/>
      <c r="H126" s="87"/>
      <c r="I126" s="87"/>
      <c r="J126" s="87"/>
      <c r="K126" s="87"/>
      <c r="L126" s="87"/>
      <c r="M126" s="87"/>
      <c r="N126" s="87"/>
      <c r="O126" s="87"/>
      <c r="P126" s="88"/>
    </row>
    <row r="127" spans="1:16">
      <c r="A127" s="85"/>
      <c r="B127" s="86"/>
      <c r="C127" s="86"/>
      <c r="D127" s="87"/>
      <c r="E127" s="87"/>
      <c r="F127" s="87"/>
      <c r="G127" s="87"/>
      <c r="H127" s="87"/>
      <c r="I127" s="87"/>
      <c r="J127" s="87"/>
      <c r="K127" s="87"/>
      <c r="L127" s="87"/>
      <c r="M127" s="87"/>
      <c r="N127" s="87"/>
      <c r="O127" s="87"/>
      <c r="P127" s="88"/>
    </row>
    <row r="128" spans="1:16">
      <c r="A128" s="85"/>
      <c r="B128" s="86"/>
      <c r="C128" s="86"/>
      <c r="D128" s="87"/>
      <c r="E128" s="87"/>
      <c r="F128" s="87"/>
      <c r="G128" s="87"/>
      <c r="H128" s="87"/>
      <c r="I128" s="87"/>
      <c r="J128" s="87"/>
      <c r="K128" s="87"/>
      <c r="L128" s="87"/>
      <c r="M128" s="87"/>
      <c r="N128" s="87"/>
      <c r="O128" s="87"/>
      <c r="P128" s="88"/>
    </row>
    <row r="129" spans="1:16">
      <c r="A129" s="85"/>
      <c r="B129" s="86"/>
      <c r="C129" s="86"/>
      <c r="D129" s="87"/>
      <c r="E129" s="87"/>
      <c r="F129" s="87"/>
      <c r="G129" s="87"/>
      <c r="H129" s="87"/>
      <c r="I129" s="87"/>
      <c r="J129" s="87"/>
      <c r="K129" s="87"/>
      <c r="L129" s="87"/>
      <c r="M129" s="87"/>
      <c r="N129" s="87"/>
      <c r="O129" s="87"/>
      <c r="P129" s="88"/>
    </row>
    <row r="130" spans="1:16">
      <c r="A130" s="85"/>
      <c r="B130" s="86"/>
      <c r="C130" s="86"/>
      <c r="D130" s="87"/>
      <c r="E130" s="87"/>
      <c r="F130" s="87"/>
      <c r="G130" s="87"/>
      <c r="H130" s="87"/>
      <c r="I130" s="87"/>
      <c r="J130" s="87"/>
      <c r="K130" s="87"/>
      <c r="L130" s="87"/>
      <c r="M130" s="87"/>
      <c r="N130" s="87"/>
      <c r="O130" s="87"/>
      <c r="P130" s="88"/>
    </row>
    <row r="131" spans="1:16">
      <c r="A131" s="85"/>
      <c r="B131" s="86"/>
      <c r="C131" s="86"/>
      <c r="D131" s="87"/>
      <c r="E131" s="87"/>
      <c r="F131" s="87"/>
      <c r="G131" s="87"/>
      <c r="H131" s="87"/>
      <c r="I131" s="87"/>
      <c r="J131" s="87"/>
      <c r="K131" s="87"/>
      <c r="L131" s="87"/>
      <c r="M131" s="87"/>
      <c r="N131" s="87"/>
      <c r="O131" s="87"/>
      <c r="P131" s="88"/>
    </row>
    <row r="132" spans="1:16">
      <c r="A132" s="85"/>
      <c r="B132" s="86"/>
      <c r="C132" s="86"/>
      <c r="D132" s="87"/>
      <c r="E132" s="87"/>
      <c r="F132" s="87"/>
      <c r="G132" s="87"/>
      <c r="H132" s="87"/>
      <c r="I132" s="87"/>
      <c r="J132" s="87"/>
      <c r="K132" s="87"/>
      <c r="L132" s="87"/>
      <c r="M132" s="87"/>
      <c r="N132" s="87"/>
      <c r="O132" s="87"/>
      <c r="P132" s="88"/>
    </row>
    <row r="133" spans="1:16">
      <c r="A133" s="85"/>
      <c r="B133" s="86"/>
      <c r="C133" s="86"/>
      <c r="D133" s="87"/>
      <c r="E133" s="87"/>
      <c r="F133" s="87"/>
      <c r="G133" s="87"/>
      <c r="H133" s="87"/>
      <c r="I133" s="87"/>
      <c r="J133" s="87"/>
      <c r="K133" s="87"/>
      <c r="L133" s="87"/>
      <c r="M133" s="87"/>
      <c r="N133" s="87"/>
      <c r="O133" s="87"/>
      <c r="P133" s="88"/>
    </row>
    <row r="134" spans="1:16">
      <c r="A134" s="85"/>
      <c r="B134" s="86"/>
      <c r="C134" s="86"/>
      <c r="D134" s="87"/>
      <c r="E134" s="87"/>
      <c r="F134" s="87"/>
      <c r="G134" s="87"/>
      <c r="H134" s="87"/>
      <c r="I134" s="87"/>
      <c r="J134" s="87"/>
      <c r="K134" s="87"/>
      <c r="L134" s="87"/>
      <c r="M134" s="87"/>
      <c r="N134" s="87"/>
      <c r="O134" s="87"/>
      <c r="P134" s="88"/>
    </row>
    <row r="135" spans="1:16">
      <c r="A135" s="85"/>
      <c r="B135" s="86"/>
      <c r="C135" s="86"/>
      <c r="D135" s="87"/>
      <c r="E135" s="87"/>
      <c r="F135" s="87"/>
      <c r="G135" s="87"/>
      <c r="H135" s="87"/>
      <c r="I135" s="87"/>
      <c r="J135" s="87"/>
      <c r="K135" s="87"/>
      <c r="L135" s="87"/>
      <c r="M135" s="87"/>
      <c r="N135" s="87"/>
      <c r="O135" s="87"/>
      <c r="P135" s="88"/>
    </row>
    <row r="136" spans="1:16">
      <c r="A136" s="85"/>
      <c r="B136" s="86"/>
      <c r="C136" s="86"/>
      <c r="D136" s="87"/>
      <c r="E136" s="87"/>
      <c r="F136" s="87"/>
      <c r="G136" s="87"/>
      <c r="H136" s="87"/>
      <c r="I136" s="87"/>
      <c r="J136" s="87"/>
      <c r="K136" s="87"/>
      <c r="L136" s="87"/>
      <c r="M136" s="87"/>
      <c r="N136" s="87"/>
      <c r="O136" s="87"/>
      <c r="P136" s="88"/>
    </row>
    <row r="137" spans="1:16">
      <c r="A137" s="85"/>
      <c r="B137" s="86"/>
      <c r="C137" s="86"/>
      <c r="D137" s="87"/>
      <c r="E137" s="87"/>
      <c r="F137" s="87"/>
      <c r="G137" s="87"/>
      <c r="H137" s="87"/>
      <c r="I137" s="87"/>
      <c r="J137" s="87"/>
      <c r="K137" s="87"/>
      <c r="L137" s="87"/>
      <c r="M137" s="87"/>
      <c r="N137" s="87"/>
      <c r="O137" s="87"/>
      <c r="P137" s="88"/>
    </row>
    <row r="138" spans="1:16">
      <c r="A138" s="85"/>
      <c r="B138" s="86"/>
      <c r="C138" s="86"/>
      <c r="D138" s="87"/>
      <c r="E138" s="87"/>
      <c r="F138" s="87"/>
      <c r="G138" s="87"/>
      <c r="H138" s="87"/>
      <c r="I138" s="87"/>
      <c r="J138" s="87"/>
      <c r="K138" s="87"/>
      <c r="L138" s="87"/>
      <c r="M138" s="87"/>
      <c r="N138" s="87"/>
      <c r="O138" s="87"/>
      <c r="P138" s="88"/>
    </row>
    <row r="139" spans="1:16">
      <c r="A139" s="85"/>
      <c r="B139" s="86"/>
      <c r="C139" s="86"/>
      <c r="D139" s="87"/>
      <c r="E139" s="87"/>
      <c r="F139" s="87"/>
      <c r="G139" s="87"/>
      <c r="H139" s="87"/>
      <c r="I139" s="87"/>
      <c r="J139" s="87"/>
      <c r="K139" s="87"/>
      <c r="L139" s="87"/>
      <c r="M139" s="87"/>
      <c r="N139" s="87"/>
      <c r="O139" s="87"/>
      <c r="P139" s="88"/>
    </row>
    <row r="140" spans="1:16">
      <c r="A140" s="85"/>
      <c r="B140" s="86"/>
      <c r="C140" s="86"/>
      <c r="D140" s="87"/>
      <c r="E140" s="87"/>
      <c r="F140" s="87"/>
      <c r="G140" s="87"/>
      <c r="H140" s="87"/>
      <c r="I140" s="87"/>
      <c r="J140" s="87"/>
      <c r="K140" s="87"/>
      <c r="L140" s="87"/>
      <c r="M140" s="87"/>
      <c r="N140" s="87"/>
      <c r="O140" s="87"/>
      <c r="P140" s="88"/>
    </row>
    <row r="141" spans="1:16">
      <c r="A141" s="85"/>
      <c r="B141" s="86"/>
      <c r="C141" s="86"/>
      <c r="D141" s="87"/>
      <c r="E141" s="87"/>
      <c r="F141" s="87"/>
      <c r="G141" s="87"/>
      <c r="H141" s="87"/>
      <c r="I141" s="87"/>
      <c r="J141" s="87"/>
      <c r="K141" s="87"/>
      <c r="L141" s="87"/>
      <c r="M141" s="87"/>
      <c r="N141" s="87"/>
      <c r="O141" s="87"/>
      <c r="P141" s="88"/>
    </row>
    <row r="142" spans="1:16">
      <c r="A142" s="85"/>
      <c r="B142" s="86"/>
      <c r="C142" s="86"/>
      <c r="D142" s="87"/>
      <c r="E142" s="87"/>
      <c r="F142" s="87"/>
      <c r="G142" s="87"/>
      <c r="H142" s="87"/>
      <c r="I142" s="87"/>
      <c r="J142" s="87"/>
      <c r="K142" s="87"/>
      <c r="L142" s="87"/>
      <c r="M142" s="87"/>
      <c r="N142" s="87"/>
      <c r="O142" s="87"/>
      <c r="P142" s="88"/>
    </row>
    <row r="143" spans="1:16">
      <c r="A143" s="85"/>
      <c r="B143" s="86"/>
      <c r="C143" s="86"/>
      <c r="D143" s="87"/>
      <c r="E143" s="87"/>
      <c r="F143" s="87"/>
      <c r="G143" s="87"/>
      <c r="H143" s="87"/>
      <c r="I143" s="87"/>
      <c r="J143" s="87"/>
      <c r="K143" s="87"/>
      <c r="L143" s="87"/>
      <c r="M143" s="87"/>
      <c r="N143" s="87"/>
      <c r="O143" s="87"/>
      <c r="P143" s="88"/>
    </row>
    <row r="144" spans="1:16">
      <c r="A144" s="85"/>
      <c r="B144" s="86"/>
      <c r="C144" s="86"/>
      <c r="D144" s="87"/>
      <c r="E144" s="87"/>
      <c r="F144" s="87"/>
      <c r="G144" s="87"/>
      <c r="H144" s="87"/>
      <c r="I144" s="87"/>
      <c r="J144" s="87"/>
      <c r="K144" s="87"/>
      <c r="L144" s="87"/>
      <c r="M144" s="87"/>
      <c r="N144" s="87"/>
      <c r="O144" s="87"/>
      <c r="P144" s="88"/>
    </row>
    <row r="145" spans="1:16">
      <c r="A145" s="85"/>
      <c r="B145" s="86"/>
      <c r="C145" s="86"/>
      <c r="D145" s="87"/>
      <c r="E145" s="87"/>
      <c r="F145" s="87"/>
      <c r="G145" s="87"/>
      <c r="H145" s="87"/>
      <c r="I145" s="87"/>
      <c r="J145" s="87"/>
      <c r="K145" s="87"/>
      <c r="L145" s="87"/>
      <c r="M145" s="87"/>
      <c r="N145" s="87"/>
      <c r="O145" s="87"/>
      <c r="P145" s="88"/>
    </row>
    <row r="146" spans="1:16">
      <c r="A146" s="85"/>
      <c r="B146" s="86"/>
      <c r="C146" s="86"/>
      <c r="D146" s="87"/>
      <c r="E146" s="87"/>
      <c r="F146" s="87"/>
      <c r="G146" s="87"/>
      <c r="H146" s="87"/>
      <c r="I146" s="87"/>
      <c r="J146" s="87"/>
      <c r="K146" s="87"/>
      <c r="L146" s="87"/>
      <c r="M146" s="87"/>
      <c r="N146" s="87"/>
      <c r="O146" s="87"/>
      <c r="P146" s="88"/>
    </row>
    <row r="147" spans="1:16">
      <c r="A147" s="85"/>
      <c r="B147" s="86"/>
      <c r="C147" s="86"/>
      <c r="D147" s="87"/>
      <c r="E147" s="87"/>
      <c r="F147" s="87"/>
      <c r="G147" s="87"/>
      <c r="H147" s="87"/>
      <c r="I147" s="87"/>
      <c r="J147" s="87"/>
      <c r="K147" s="87"/>
      <c r="L147" s="87"/>
      <c r="M147" s="87"/>
      <c r="N147" s="87"/>
      <c r="O147" s="87"/>
      <c r="P147" s="88"/>
    </row>
    <row r="148" spans="1:16">
      <c r="A148" s="85"/>
      <c r="B148" s="86"/>
      <c r="C148" s="86"/>
      <c r="D148" s="87"/>
      <c r="E148" s="87"/>
      <c r="F148" s="87"/>
      <c r="G148" s="87"/>
      <c r="H148" s="87"/>
      <c r="I148" s="87"/>
      <c r="J148" s="87"/>
      <c r="K148" s="87"/>
      <c r="L148" s="87"/>
      <c r="M148" s="87"/>
      <c r="N148" s="87"/>
      <c r="O148" s="87"/>
      <c r="P148" s="88"/>
    </row>
    <row r="149" spans="1:16">
      <c r="A149" s="85"/>
      <c r="B149" s="86"/>
      <c r="C149" s="86"/>
      <c r="D149" s="87"/>
      <c r="E149" s="87"/>
      <c r="F149" s="87"/>
      <c r="G149" s="87"/>
      <c r="H149" s="87"/>
      <c r="I149" s="87"/>
      <c r="J149" s="87"/>
      <c r="K149" s="87"/>
      <c r="L149" s="87"/>
      <c r="M149" s="87"/>
      <c r="N149" s="87"/>
      <c r="O149" s="87"/>
      <c r="P149" s="88"/>
    </row>
    <row r="150" spans="1:16">
      <c r="A150" s="85"/>
      <c r="B150" s="86"/>
      <c r="C150" s="86"/>
      <c r="D150" s="87"/>
      <c r="E150" s="87"/>
      <c r="F150" s="87"/>
      <c r="G150" s="87"/>
      <c r="H150" s="87"/>
      <c r="I150" s="87"/>
      <c r="J150" s="87"/>
      <c r="K150" s="87"/>
      <c r="L150" s="87"/>
      <c r="M150" s="87"/>
      <c r="N150" s="87"/>
      <c r="O150" s="87"/>
      <c r="P150" s="88"/>
    </row>
    <row r="151" spans="1:16">
      <c r="A151" s="85"/>
      <c r="B151" s="86"/>
      <c r="C151" s="86"/>
      <c r="D151" s="87"/>
      <c r="E151" s="87"/>
      <c r="F151" s="87"/>
      <c r="G151" s="87"/>
      <c r="H151" s="87"/>
      <c r="I151" s="87"/>
      <c r="J151" s="87"/>
      <c r="K151" s="87"/>
      <c r="L151" s="87"/>
      <c r="M151" s="87"/>
      <c r="N151" s="87"/>
      <c r="O151" s="87"/>
      <c r="P151" s="88"/>
    </row>
    <row r="152" spans="1:16">
      <c r="A152" s="85"/>
      <c r="B152" s="86"/>
      <c r="C152" s="86"/>
      <c r="D152" s="87"/>
      <c r="E152" s="87"/>
      <c r="F152" s="87"/>
      <c r="G152" s="87"/>
      <c r="H152" s="87"/>
      <c r="I152" s="87"/>
      <c r="J152" s="87"/>
      <c r="K152" s="87"/>
      <c r="L152" s="87"/>
      <c r="M152" s="87"/>
      <c r="N152" s="87"/>
      <c r="O152" s="87"/>
      <c r="P152" s="88"/>
    </row>
    <row r="153" spans="1:16">
      <c r="A153" s="85"/>
      <c r="B153" s="86"/>
      <c r="C153" s="86"/>
      <c r="D153" s="87"/>
      <c r="E153" s="87"/>
      <c r="F153" s="87"/>
      <c r="G153" s="87"/>
      <c r="H153" s="87"/>
      <c r="I153" s="87"/>
      <c r="J153" s="87"/>
      <c r="K153" s="87"/>
      <c r="L153" s="87"/>
      <c r="M153" s="87"/>
      <c r="N153" s="87"/>
      <c r="O153" s="87"/>
      <c r="P153" s="88"/>
    </row>
    <row r="154" spans="1:16">
      <c r="A154" s="85"/>
      <c r="B154" s="86"/>
      <c r="C154" s="86"/>
      <c r="D154" s="87"/>
      <c r="E154" s="87"/>
      <c r="F154" s="87"/>
      <c r="G154" s="87"/>
      <c r="H154" s="87"/>
      <c r="I154" s="87"/>
      <c r="J154" s="87"/>
      <c r="K154" s="87"/>
      <c r="L154" s="87"/>
      <c r="M154" s="87"/>
      <c r="N154" s="87"/>
      <c r="O154" s="87"/>
      <c r="P154" s="88"/>
    </row>
    <row r="155" spans="1:16">
      <c r="A155" s="85"/>
      <c r="B155" s="86"/>
      <c r="C155" s="86"/>
      <c r="D155" s="87"/>
      <c r="E155" s="87"/>
      <c r="F155" s="87"/>
      <c r="G155" s="87"/>
      <c r="H155" s="87"/>
      <c r="I155" s="87"/>
      <c r="J155" s="87"/>
      <c r="K155" s="87"/>
      <c r="L155" s="87"/>
      <c r="M155" s="87"/>
      <c r="N155" s="87"/>
      <c r="O155" s="87"/>
      <c r="P155" s="88"/>
    </row>
    <row r="156" spans="1:16">
      <c r="A156" s="85"/>
      <c r="B156" s="86"/>
      <c r="C156" s="86"/>
      <c r="D156" s="87"/>
      <c r="E156" s="87"/>
      <c r="F156" s="87"/>
      <c r="G156" s="87"/>
      <c r="H156" s="87"/>
      <c r="I156" s="87"/>
      <c r="J156" s="87"/>
      <c r="K156" s="87"/>
      <c r="L156" s="87"/>
      <c r="M156" s="87"/>
      <c r="N156" s="87"/>
      <c r="O156" s="87"/>
      <c r="P156" s="88"/>
    </row>
    <row r="157" spans="1:16">
      <c r="A157" s="85"/>
      <c r="B157" s="86"/>
      <c r="C157" s="86"/>
      <c r="D157" s="87"/>
      <c r="E157" s="87"/>
      <c r="F157" s="87"/>
      <c r="G157" s="87"/>
      <c r="H157" s="87"/>
      <c r="I157" s="87"/>
      <c r="J157" s="87"/>
      <c r="K157" s="87"/>
      <c r="L157" s="87"/>
      <c r="M157" s="87"/>
      <c r="N157" s="87"/>
      <c r="O157" s="87"/>
      <c r="P157" s="88"/>
    </row>
    <row r="158" spans="1:16">
      <c r="A158" s="85"/>
      <c r="B158" s="86"/>
      <c r="C158" s="86"/>
      <c r="D158" s="87"/>
      <c r="E158" s="87"/>
      <c r="F158" s="87"/>
      <c r="G158" s="87"/>
      <c r="H158" s="87"/>
      <c r="I158" s="87"/>
      <c r="J158" s="87"/>
      <c r="K158" s="87"/>
      <c r="L158" s="87"/>
      <c r="M158" s="87"/>
      <c r="N158" s="87"/>
      <c r="O158" s="87"/>
      <c r="P158" s="88"/>
    </row>
    <row r="159" spans="1:16">
      <c r="A159" s="85"/>
      <c r="B159" s="86"/>
      <c r="C159" s="86"/>
      <c r="D159" s="87"/>
      <c r="E159" s="87"/>
      <c r="F159" s="87"/>
      <c r="G159" s="87"/>
      <c r="H159" s="87"/>
      <c r="I159" s="87"/>
      <c r="J159" s="87"/>
      <c r="K159" s="87"/>
      <c r="L159" s="87"/>
      <c r="M159" s="87"/>
      <c r="N159" s="87"/>
      <c r="O159" s="87"/>
      <c r="P159" s="88"/>
    </row>
    <row r="160" spans="1:16">
      <c r="A160" s="85"/>
      <c r="B160" s="86"/>
      <c r="C160" s="86"/>
      <c r="D160" s="87"/>
      <c r="E160" s="87"/>
      <c r="F160" s="87"/>
      <c r="G160" s="87"/>
      <c r="H160" s="87"/>
      <c r="I160" s="87"/>
      <c r="J160" s="87"/>
      <c r="K160" s="87"/>
      <c r="L160" s="87"/>
      <c r="M160" s="87"/>
      <c r="N160" s="87"/>
      <c r="O160" s="87"/>
      <c r="P160" s="88"/>
    </row>
    <row r="161" spans="1:16">
      <c r="A161" s="85"/>
      <c r="B161" s="86"/>
      <c r="C161" s="86"/>
      <c r="D161" s="87"/>
      <c r="E161" s="87"/>
      <c r="F161" s="87"/>
      <c r="G161" s="87"/>
      <c r="H161" s="87"/>
      <c r="I161" s="87"/>
      <c r="J161" s="87"/>
      <c r="K161" s="87"/>
      <c r="L161" s="87"/>
      <c r="M161" s="87"/>
      <c r="N161" s="87"/>
      <c r="O161" s="87"/>
      <c r="P161" s="88"/>
    </row>
    <row r="162" spans="1:16">
      <c r="A162" s="85"/>
      <c r="B162" s="86"/>
      <c r="C162" s="86"/>
      <c r="D162" s="87"/>
      <c r="E162" s="87"/>
      <c r="F162" s="87"/>
      <c r="G162" s="87"/>
      <c r="H162" s="87"/>
      <c r="I162" s="87"/>
      <c r="J162" s="87"/>
      <c r="K162" s="87"/>
      <c r="L162" s="87"/>
      <c r="M162" s="87"/>
      <c r="N162" s="87"/>
      <c r="O162" s="87"/>
      <c r="P162" s="88"/>
    </row>
    <row r="163" spans="1:16">
      <c r="A163" s="85"/>
      <c r="B163" s="86"/>
      <c r="C163" s="86"/>
      <c r="D163" s="87"/>
      <c r="E163" s="87"/>
      <c r="F163" s="87"/>
      <c r="G163" s="87"/>
      <c r="H163" s="87"/>
      <c r="I163" s="87"/>
      <c r="J163" s="87"/>
      <c r="K163" s="87"/>
      <c r="L163" s="87"/>
      <c r="M163" s="87"/>
      <c r="N163" s="87"/>
      <c r="O163" s="87"/>
      <c r="P163" s="88"/>
    </row>
    <row r="164" spans="1:16">
      <c r="A164" s="85"/>
      <c r="B164" s="86"/>
      <c r="C164" s="86"/>
      <c r="D164" s="87"/>
      <c r="E164" s="87"/>
      <c r="F164" s="87"/>
      <c r="G164" s="87"/>
      <c r="H164" s="87"/>
      <c r="I164" s="87"/>
      <c r="J164" s="87"/>
      <c r="K164" s="87"/>
      <c r="L164" s="87"/>
      <c r="M164" s="87"/>
      <c r="N164" s="87"/>
      <c r="O164" s="87"/>
      <c r="P164" s="88"/>
    </row>
    <row r="165" spans="1:16">
      <c r="A165" s="85"/>
      <c r="B165" s="86"/>
      <c r="C165" s="86"/>
      <c r="D165" s="87"/>
      <c r="E165" s="87"/>
      <c r="F165" s="87"/>
      <c r="G165" s="87"/>
      <c r="H165" s="87"/>
      <c r="I165" s="87"/>
      <c r="J165" s="87"/>
      <c r="K165" s="87"/>
      <c r="L165" s="87"/>
      <c r="M165" s="87"/>
      <c r="N165" s="87"/>
      <c r="O165" s="87"/>
      <c r="P165" s="88"/>
    </row>
    <row r="166" spans="1:16">
      <c r="A166" s="85"/>
      <c r="B166" s="86"/>
      <c r="C166" s="86"/>
      <c r="D166" s="87"/>
      <c r="E166" s="87"/>
      <c r="F166" s="87"/>
      <c r="G166" s="87"/>
      <c r="H166" s="87"/>
      <c r="I166" s="87"/>
      <c r="J166" s="87"/>
      <c r="K166" s="87"/>
      <c r="L166" s="87"/>
      <c r="M166" s="87"/>
      <c r="N166" s="87"/>
      <c r="O166" s="87"/>
      <c r="P166" s="88"/>
    </row>
    <row r="167" spans="1:16">
      <c r="A167" s="85"/>
      <c r="B167" s="86"/>
      <c r="C167" s="86"/>
      <c r="D167" s="87"/>
      <c r="E167" s="87"/>
      <c r="F167" s="87"/>
      <c r="G167" s="87"/>
      <c r="H167" s="87"/>
      <c r="I167" s="87"/>
      <c r="J167" s="87"/>
      <c r="K167" s="87"/>
      <c r="L167" s="87"/>
      <c r="M167" s="87"/>
      <c r="N167" s="87"/>
      <c r="O167" s="87"/>
      <c r="P167" s="88"/>
    </row>
    <row r="168" spans="1:16">
      <c r="A168" s="85"/>
      <c r="B168" s="86"/>
      <c r="C168" s="86"/>
      <c r="D168" s="87"/>
      <c r="E168" s="87"/>
      <c r="F168" s="87"/>
      <c r="G168" s="87"/>
      <c r="H168" s="87"/>
      <c r="I168" s="87"/>
      <c r="J168" s="87"/>
      <c r="K168" s="87"/>
      <c r="L168" s="87"/>
      <c r="M168" s="87"/>
      <c r="N168" s="87"/>
      <c r="O168" s="87"/>
      <c r="P168" s="88"/>
    </row>
    <row r="169" spans="1:16">
      <c r="A169" s="85"/>
      <c r="B169" s="86"/>
      <c r="C169" s="86"/>
      <c r="D169" s="87"/>
      <c r="E169" s="87"/>
      <c r="F169" s="87"/>
      <c r="G169" s="87"/>
      <c r="H169" s="87"/>
      <c r="I169" s="87"/>
      <c r="J169" s="87"/>
      <c r="K169" s="87"/>
      <c r="L169" s="87"/>
      <c r="M169" s="87"/>
      <c r="N169" s="87"/>
      <c r="O169" s="87"/>
      <c r="P169" s="88"/>
    </row>
    <row r="170" spans="1:16">
      <c r="A170" s="85"/>
      <c r="B170" s="86"/>
      <c r="C170" s="86"/>
      <c r="D170" s="87"/>
      <c r="E170" s="87"/>
      <c r="F170" s="87"/>
      <c r="G170" s="87"/>
      <c r="H170" s="87"/>
      <c r="I170" s="87"/>
      <c r="J170" s="87"/>
      <c r="K170" s="87"/>
      <c r="L170" s="87"/>
      <c r="M170" s="87"/>
      <c r="N170" s="87"/>
      <c r="O170" s="87"/>
      <c r="P170" s="88"/>
    </row>
    <row r="171" spans="1:16">
      <c r="A171" s="85"/>
      <c r="B171" s="86"/>
      <c r="C171" s="86"/>
      <c r="D171" s="87"/>
      <c r="E171" s="87"/>
      <c r="F171" s="87"/>
      <c r="G171" s="87"/>
      <c r="H171" s="87"/>
      <c r="I171" s="87"/>
      <c r="J171" s="87"/>
      <c r="K171" s="87"/>
      <c r="L171" s="87"/>
      <c r="M171" s="87"/>
      <c r="N171" s="87"/>
      <c r="O171" s="87"/>
      <c r="P171" s="88"/>
    </row>
    <row r="172" spans="1:16">
      <c r="A172" s="85"/>
      <c r="B172" s="86"/>
      <c r="C172" s="86"/>
      <c r="D172" s="87"/>
      <c r="E172" s="87"/>
      <c r="F172" s="87"/>
      <c r="G172" s="87"/>
      <c r="H172" s="87"/>
      <c r="I172" s="87"/>
      <c r="J172" s="87"/>
      <c r="K172" s="87"/>
      <c r="L172" s="87"/>
      <c r="M172" s="87"/>
      <c r="N172" s="87"/>
      <c r="O172" s="87"/>
      <c r="P172" s="88"/>
    </row>
    <row r="173" spans="1:16">
      <c r="A173" s="85"/>
      <c r="B173" s="86"/>
      <c r="C173" s="86"/>
      <c r="D173" s="87"/>
      <c r="E173" s="87"/>
      <c r="F173" s="87"/>
      <c r="G173" s="87"/>
      <c r="H173" s="87"/>
      <c r="I173" s="87"/>
      <c r="J173" s="87"/>
      <c r="K173" s="87"/>
      <c r="L173" s="87"/>
      <c r="M173" s="87"/>
      <c r="N173" s="87"/>
      <c r="O173" s="87"/>
      <c r="P173" s="88"/>
    </row>
    <row r="174" spans="1:16">
      <c r="A174" s="85"/>
      <c r="B174" s="86"/>
      <c r="C174" s="86"/>
      <c r="D174" s="87"/>
      <c r="E174" s="87"/>
      <c r="F174" s="87"/>
      <c r="G174" s="87"/>
      <c r="H174" s="87"/>
      <c r="I174" s="87"/>
      <c r="J174" s="87"/>
      <c r="K174" s="87"/>
      <c r="L174" s="87"/>
      <c r="M174" s="87"/>
      <c r="N174" s="87"/>
      <c r="O174" s="87"/>
      <c r="P174" s="88"/>
    </row>
    <row r="175" spans="1:16">
      <c r="A175" s="85"/>
      <c r="B175" s="86"/>
      <c r="C175" s="86"/>
      <c r="D175" s="87"/>
      <c r="E175" s="87"/>
      <c r="F175" s="87"/>
      <c r="G175" s="87"/>
      <c r="H175" s="87"/>
      <c r="I175" s="87"/>
      <c r="J175" s="87"/>
      <c r="K175" s="87"/>
      <c r="L175" s="87"/>
      <c r="M175" s="87"/>
      <c r="N175" s="87"/>
      <c r="O175" s="87"/>
      <c r="P175" s="88"/>
    </row>
    <row r="176" spans="1:16">
      <c r="A176" s="85"/>
      <c r="B176" s="86"/>
      <c r="C176" s="86"/>
      <c r="D176" s="87"/>
      <c r="E176" s="87"/>
      <c r="F176" s="87"/>
      <c r="G176" s="87"/>
      <c r="H176" s="87"/>
      <c r="I176" s="87"/>
      <c r="J176" s="87"/>
      <c r="K176" s="87"/>
      <c r="L176" s="87"/>
      <c r="M176" s="87"/>
      <c r="N176" s="87"/>
      <c r="O176" s="87"/>
      <c r="P176" s="88"/>
    </row>
    <row r="177" spans="1:16">
      <c r="A177" s="85"/>
      <c r="B177" s="86"/>
      <c r="C177" s="86"/>
      <c r="D177" s="87"/>
      <c r="E177" s="87"/>
      <c r="F177" s="87"/>
      <c r="G177" s="87"/>
      <c r="H177" s="87"/>
      <c r="I177" s="87"/>
      <c r="J177" s="87"/>
      <c r="K177" s="87"/>
      <c r="L177" s="87"/>
      <c r="M177" s="87"/>
      <c r="N177" s="87"/>
      <c r="O177" s="87"/>
      <c r="P177" s="88"/>
    </row>
    <row r="178" spans="1:16">
      <c r="A178" s="85"/>
      <c r="B178" s="86"/>
      <c r="C178" s="86"/>
      <c r="D178" s="87"/>
      <c r="E178" s="87"/>
      <c r="F178" s="87"/>
      <c r="G178" s="87"/>
      <c r="H178" s="87"/>
      <c r="I178" s="87"/>
      <c r="J178" s="87"/>
      <c r="K178" s="87"/>
      <c r="L178" s="87"/>
      <c r="M178" s="87"/>
      <c r="N178" s="87"/>
      <c r="O178" s="87"/>
      <c r="P178" s="88"/>
    </row>
    <row r="179" spans="1:16">
      <c r="A179" s="85"/>
      <c r="B179" s="86"/>
      <c r="C179" s="86"/>
      <c r="D179" s="87"/>
      <c r="E179" s="87"/>
      <c r="F179" s="87"/>
      <c r="G179" s="87"/>
      <c r="H179" s="87"/>
      <c r="I179" s="87"/>
      <c r="J179" s="87"/>
      <c r="K179" s="87"/>
      <c r="L179" s="87"/>
      <c r="M179" s="87"/>
      <c r="N179" s="87"/>
      <c r="O179" s="87"/>
      <c r="P179" s="88"/>
    </row>
    <row r="180" spans="1:16">
      <c r="A180" s="85"/>
      <c r="B180" s="86"/>
      <c r="C180" s="86"/>
      <c r="D180" s="87"/>
      <c r="E180" s="87"/>
      <c r="F180" s="87"/>
      <c r="G180" s="87"/>
      <c r="H180" s="87"/>
      <c r="I180" s="87"/>
      <c r="J180" s="87"/>
      <c r="K180" s="87"/>
      <c r="L180" s="87"/>
      <c r="M180" s="87"/>
      <c r="N180" s="87"/>
      <c r="O180" s="87"/>
      <c r="P180" s="88"/>
    </row>
    <row r="181" spans="1:16">
      <c r="A181" s="85"/>
      <c r="B181" s="86"/>
      <c r="C181" s="86"/>
      <c r="D181" s="87"/>
      <c r="E181" s="87"/>
      <c r="F181" s="87"/>
      <c r="G181" s="87"/>
      <c r="H181" s="87"/>
      <c r="I181" s="87"/>
      <c r="J181" s="87"/>
      <c r="K181" s="87"/>
      <c r="L181" s="87"/>
      <c r="M181" s="87"/>
      <c r="N181" s="87"/>
      <c r="O181" s="87"/>
      <c r="P181" s="88"/>
    </row>
    <row r="182" spans="1:16">
      <c r="A182" s="85"/>
      <c r="B182" s="86"/>
      <c r="C182" s="86"/>
      <c r="D182" s="87"/>
      <c r="E182" s="87"/>
      <c r="F182" s="87"/>
      <c r="G182" s="87"/>
      <c r="H182" s="87"/>
      <c r="I182" s="87"/>
      <c r="J182" s="87"/>
      <c r="K182" s="87"/>
      <c r="L182" s="87"/>
      <c r="M182" s="87"/>
      <c r="N182" s="87"/>
      <c r="O182" s="87"/>
      <c r="P182" s="88"/>
    </row>
    <row r="183" spans="1:16">
      <c r="A183" s="85"/>
      <c r="B183" s="86"/>
      <c r="C183" s="86"/>
      <c r="D183" s="87"/>
      <c r="E183" s="87"/>
      <c r="F183" s="87"/>
      <c r="G183" s="87"/>
      <c r="H183" s="87"/>
      <c r="I183" s="87"/>
      <c r="J183" s="87"/>
      <c r="K183" s="87"/>
      <c r="L183" s="87"/>
      <c r="M183" s="87"/>
      <c r="N183" s="87"/>
      <c r="O183" s="87"/>
      <c r="P183" s="88"/>
    </row>
    <row r="184" spans="1:16">
      <c r="A184" s="85"/>
      <c r="B184" s="86"/>
      <c r="C184" s="86"/>
      <c r="D184" s="87"/>
      <c r="E184" s="87"/>
      <c r="F184" s="87"/>
      <c r="G184" s="87"/>
      <c r="H184" s="87"/>
      <c r="I184" s="87"/>
      <c r="J184" s="87"/>
      <c r="K184" s="87"/>
      <c r="L184" s="87"/>
      <c r="M184" s="87"/>
      <c r="N184" s="87"/>
      <c r="O184" s="87"/>
      <c r="P184" s="88"/>
    </row>
    <row r="185" spans="1:16">
      <c r="A185" s="85"/>
      <c r="B185" s="86"/>
      <c r="C185" s="86"/>
      <c r="D185" s="87"/>
      <c r="E185" s="87"/>
      <c r="F185" s="87"/>
      <c r="G185" s="87"/>
      <c r="H185" s="87"/>
      <c r="I185" s="87"/>
      <c r="J185" s="87"/>
      <c r="K185" s="87"/>
      <c r="L185" s="87"/>
      <c r="M185" s="87"/>
      <c r="N185" s="87"/>
      <c r="O185" s="87"/>
      <c r="P185" s="88"/>
    </row>
    <row r="186" spans="1:16">
      <c r="A186" s="85"/>
      <c r="B186" s="86"/>
      <c r="C186" s="86"/>
      <c r="D186" s="87"/>
      <c r="E186" s="87"/>
      <c r="F186" s="87"/>
      <c r="G186" s="87"/>
      <c r="H186" s="87"/>
      <c r="I186" s="87"/>
      <c r="J186" s="87"/>
      <c r="K186" s="87"/>
      <c r="L186" s="87"/>
      <c r="M186" s="87"/>
      <c r="N186" s="87"/>
      <c r="O186" s="87"/>
      <c r="P186" s="88"/>
    </row>
    <row r="187" spans="1:16">
      <c r="A187" s="85"/>
      <c r="B187" s="86"/>
      <c r="C187" s="86"/>
      <c r="D187" s="87"/>
      <c r="E187" s="87"/>
      <c r="F187" s="87"/>
      <c r="G187" s="87"/>
      <c r="H187" s="87"/>
      <c r="I187" s="87"/>
      <c r="J187" s="87"/>
      <c r="K187" s="87"/>
      <c r="L187" s="87"/>
      <c r="M187" s="87"/>
      <c r="N187" s="87"/>
      <c r="O187" s="87"/>
      <c r="P187" s="88"/>
    </row>
    <row r="188" spans="1:16">
      <c r="A188" s="85"/>
      <c r="B188" s="86"/>
      <c r="C188" s="86"/>
      <c r="D188" s="87"/>
      <c r="E188" s="87"/>
      <c r="F188" s="87"/>
      <c r="G188" s="87"/>
      <c r="H188" s="87"/>
      <c r="I188" s="87"/>
      <c r="J188" s="87"/>
      <c r="K188" s="87"/>
      <c r="L188" s="87"/>
      <c r="M188" s="87"/>
      <c r="N188" s="87"/>
      <c r="O188" s="87"/>
      <c r="P188" s="88"/>
    </row>
    <row r="189" spans="1:16">
      <c r="A189" s="85"/>
      <c r="B189" s="86"/>
      <c r="C189" s="86"/>
      <c r="D189" s="87"/>
      <c r="E189" s="87"/>
      <c r="F189" s="87"/>
      <c r="G189" s="87"/>
      <c r="H189" s="87"/>
      <c r="I189" s="87"/>
      <c r="J189" s="87"/>
      <c r="K189" s="87"/>
      <c r="L189" s="87"/>
      <c r="M189" s="87"/>
      <c r="N189" s="87"/>
      <c r="O189" s="87"/>
      <c r="P189" s="88"/>
    </row>
    <row r="190" spans="1:16">
      <c r="A190" s="85"/>
      <c r="B190" s="86"/>
      <c r="C190" s="86"/>
      <c r="D190" s="87"/>
      <c r="E190" s="87"/>
      <c r="F190" s="87"/>
      <c r="G190" s="87"/>
      <c r="H190" s="87"/>
      <c r="I190" s="87"/>
      <c r="J190" s="87"/>
      <c r="K190" s="87"/>
      <c r="L190" s="87"/>
      <c r="M190" s="87"/>
      <c r="N190" s="87"/>
      <c r="O190" s="87"/>
      <c r="P190" s="88"/>
    </row>
    <row r="191" spans="1:16">
      <c r="A191" s="85"/>
      <c r="B191" s="86"/>
      <c r="C191" s="86"/>
      <c r="D191" s="87"/>
      <c r="E191" s="87"/>
      <c r="F191" s="87"/>
      <c r="G191" s="87"/>
      <c r="H191" s="87"/>
      <c r="I191" s="87"/>
      <c r="J191" s="87"/>
      <c r="K191" s="87"/>
      <c r="L191" s="87"/>
      <c r="M191" s="87"/>
      <c r="N191" s="87"/>
      <c r="O191" s="87"/>
      <c r="P191" s="88"/>
    </row>
    <row r="192" spans="1:16">
      <c r="A192" s="85"/>
      <c r="B192" s="86"/>
      <c r="C192" s="86"/>
      <c r="D192" s="87"/>
      <c r="E192" s="87"/>
      <c r="F192" s="87"/>
      <c r="G192" s="87"/>
      <c r="H192" s="87"/>
      <c r="I192" s="87"/>
      <c r="J192" s="87"/>
      <c r="K192" s="87"/>
      <c r="L192" s="87"/>
      <c r="M192" s="87"/>
      <c r="N192" s="87"/>
      <c r="O192" s="87"/>
      <c r="P192" s="88"/>
    </row>
    <row r="193" spans="1:16">
      <c r="A193" s="85"/>
      <c r="B193" s="86"/>
      <c r="C193" s="86"/>
      <c r="D193" s="87"/>
      <c r="E193" s="87"/>
      <c r="F193" s="87"/>
      <c r="G193" s="87"/>
      <c r="H193" s="87"/>
      <c r="I193" s="87"/>
      <c r="J193" s="87"/>
      <c r="K193" s="87"/>
      <c r="L193" s="87"/>
      <c r="M193" s="87"/>
      <c r="N193" s="87"/>
      <c r="O193" s="87"/>
      <c r="P193" s="88"/>
    </row>
    <row r="194" spans="1:16">
      <c r="A194" s="85"/>
      <c r="B194" s="86"/>
      <c r="C194" s="86"/>
      <c r="D194" s="87"/>
      <c r="E194" s="87"/>
      <c r="F194" s="87"/>
      <c r="G194" s="87"/>
      <c r="H194" s="87"/>
      <c r="I194" s="87"/>
      <c r="J194" s="87"/>
      <c r="K194" s="87"/>
      <c r="L194" s="87"/>
      <c r="M194" s="87"/>
      <c r="N194" s="87"/>
      <c r="O194" s="87"/>
      <c r="P194" s="88"/>
    </row>
    <row r="195" spans="1:16">
      <c r="A195" s="85"/>
      <c r="B195" s="86"/>
      <c r="C195" s="86"/>
      <c r="D195" s="87"/>
      <c r="E195" s="87"/>
      <c r="F195" s="87"/>
      <c r="G195" s="87"/>
      <c r="H195" s="87"/>
      <c r="I195" s="87"/>
      <c r="J195" s="87"/>
      <c r="K195" s="87"/>
      <c r="L195" s="87"/>
      <c r="M195" s="87"/>
      <c r="N195" s="87"/>
      <c r="O195" s="87"/>
      <c r="P195" s="88"/>
    </row>
    <row r="196" spans="1:16">
      <c r="A196" s="85"/>
      <c r="B196" s="86"/>
      <c r="C196" s="86"/>
      <c r="D196" s="87"/>
      <c r="E196" s="87"/>
      <c r="F196" s="87"/>
      <c r="G196" s="87"/>
      <c r="H196" s="87"/>
      <c r="I196" s="87"/>
      <c r="J196" s="87"/>
      <c r="K196" s="87"/>
      <c r="L196" s="87"/>
      <c r="M196" s="87"/>
      <c r="N196" s="87"/>
      <c r="O196" s="87"/>
      <c r="P196" s="88"/>
    </row>
    <row r="197" spans="1:16">
      <c r="A197" s="85"/>
      <c r="B197" s="86"/>
      <c r="C197" s="86"/>
      <c r="D197" s="87"/>
      <c r="E197" s="87"/>
      <c r="F197" s="87"/>
      <c r="G197" s="87"/>
      <c r="H197" s="87"/>
      <c r="I197" s="87"/>
      <c r="J197" s="87"/>
      <c r="K197" s="87"/>
      <c r="L197" s="87"/>
      <c r="M197" s="87"/>
      <c r="N197" s="87"/>
      <c r="O197" s="87"/>
      <c r="P197" s="88"/>
    </row>
    <row r="198" spans="1:16">
      <c r="A198" s="85"/>
      <c r="B198" s="86"/>
      <c r="C198" s="86"/>
      <c r="D198" s="87"/>
      <c r="E198" s="87"/>
      <c r="F198" s="87"/>
      <c r="G198" s="87"/>
      <c r="H198" s="87"/>
      <c r="I198" s="87"/>
      <c r="J198" s="87"/>
      <c r="K198" s="87"/>
      <c r="L198" s="87"/>
      <c r="M198" s="87"/>
      <c r="N198" s="87"/>
      <c r="O198" s="87"/>
      <c r="P198" s="88"/>
    </row>
    <row r="199" spans="1:16">
      <c r="A199" s="85"/>
      <c r="B199" s="86"/>
      <c r="C199" s="86"/>
      <c r="D199" s="87"/>
      <c r="E199" s="87"/>
      <c r="F199" s="87"/>
      <c r="G199" s="87"/>
      <c r="H199" s="87"/>
      <c r="I199" s="87"/>
      <c r="J199" s="87"/>
      <c r="K199" s="87"/>
      <c r="L199" s="87"/>
      <c r="M199" s="87"/>
      <c r="N199" s="87"/>
      <c r="O199" s="87"/>
      <c r="P199" s="88"/>
    </row>
    <row r="200" spans="1:16">
      <c r="A200" s="85"/>
      <c r="B200" s="86"/>
      <c r="C200" s="86"/>
      <c r="D200" s="87"/>
      <c r="E200" s="87"/>
      <c r="F200" s="87"/>
      <c r="G200" s="87"/>
      <c r="H200" s="87"/>
      <c r="I200" s="87"/>
      <c r="J200" s="87"/>
      <c r="K200" s="87"/>
      <c r="L200" s="87"/>
      <c r="M200" s="87"/>
      <c r="N200" s="87"/>
      <c r="O200" s="87"/>
      <c r="P200" s="88"/>
    </row>
    <row r="201" spans="1:16">
      <c r="A201" s="85"/>
      <c r="B201" s="86"/>
      <c r="C201" s="86"/>
      <c r="D201" s="87"/>
      <c r="E201" s="87"/>
      <c r="F201" s="87"/>
      <c r="G201" s="87"/>
      <c r="H201" s="87"/>
      <c r="I201" s="87"/>
      <c r="J201" s="87"/>
      <c r="K201" s="87"/>
      <c r="L201" s="87"/>
      <c r="M201" s="87"/>
      <c r="N201" s="87"/>
      <c r="O201" s="87"/>
      <c r="P201" s="88"/>
    </row>
    <row r="202" spans="1:16">
      <c r="A202" s="85"/>
      <c r="B202" s="86"/>
      <c r="C202" s="86"/>
      <c r="D202" s="87"/>
      <c r="E202" s="87"/>
      <c r="F202" s="87"/>
      <c r="G202" s="87"/>
      <c r="H202" s="87"/>
      <c r="I202" s="87"/>
      <c r="J202" s="87"/>
      <c r="K202" s="87"/>
      <c r="L202" s="87"/>
      <c r="M202" s="87"/>
      <c r="N202" s="87"/>
      <c r="O202" s="87"/>
      <c r="P202" s="88"/>
    </row>
    <row r="203" spans="1:16">
      <c r="A203" s="85"/>
      <c r="B203" s="86"/>
      <c r="C203" s="86"/>
      <c r="D203" s="87"/>
      <c r="E203" s="87"/>
      <c r="F203" s="87"/>
      <c r="G203" s="87"/>
      <c r="H203" s="87"/>
      <c r="I203" s="87"/>
      <c r="J203" s="87"/>
      <c r="K203" s="87"/>
      <c r="L203" s="87"/>
      <c r="M203" s="87"/>
      <c r="N203" s="87"/>
      <c r="O203" s="87"/>
      <c r="P203" s="88"/>
    </row>
    <row r="204" spans="1:16">
      <c r="A204" s="85"/>
      <c r="B204" s="86"/>
      <c r="C204" s="86"/>
      <c r="D204" s="87"/>
      <c r="E204" s="87"/>
      <c r="F204" s="87"/>
      <c r="G204" s="87"/>
      <c r="H204" s="87"/>
      <c r="I204" s="87"/>
      <c r="J204" s="87"/>
      <c r="K204" s="87"/>
      <c r="L204" s="87"/>
      <c r="M204" s="87"/>
      <c r="N204" s="87"/>
      <c r="O204" s="87"/>
      <c r="P204" s="88"/>
    </row>
    <row r="205" spans="1:16">
      <c r="A205" s="85"/>
      <c r="B205" s="86"/>
      <c r="C205" s="86"/>
      <c r="D205" s="87"/>
      <c r="E205" s="87"/>
      <c r="F205" s="87"/>
      <c r="G205" s="87"/>
      <c r="H205" s="87"/>
      <c r="I205" s="87"/>
      <c r="J205" s="87"/>
      <c r="K205" s="87"/>
      <c r="L205" s="87"/>
      <c r="M205" s="87"/>
      <c r="N205" s="87"/>
      <c r="O205" s="87"/>
      <c r="P205" s="88"/>
    </row>
    <row r="206" spans="1:16">
      <c r="A206" s="85"/>
      <c r="B206" s="86"/>
      <c r="C206" s="86"/>
      <c r="D206" s="87"/>
      <c r="E206" s="87"/>
      <c r="F206" s="87"/>
      <c r="G206" s="87"/>
      <c r="H206" s="87"/>
      <c r="I206" s="87"/>
      <c r="J206" s="87"/>
      <c r="K206" s="87"/>
      <c r="L206" s="87"/>
      <c r="M206" s="87"/>
      <c r="N206" s="87"/>
      <c r="O206" s="87"/>
      <c r="P206" s="88"/>
    </row>
    <row r="207" spans="1:16">
      <c r="A207" s="85"/>
      <c r="B207" s="86"/>
      <c r="C207" s="86"/>
      <c r="D207" s="87"/>
      <c r="E207" s="87"/>
      <c r="F207" s="87"/>
      <c r="G207" s="87"/>
      <c r="H207" s="87"/>
      <c r="I207" s="87"/>
      <c r="J207" s="87"/>
      <c r="K207" s="87"/>
      <c r="L207" s="87"/>
      <c r="M207" s="87"/>
      <c r="N207" s="87"/>
      <c r="O207" s="87"/>
      <c r="P207" s="88"/>
    </row>
    <row r="208" spans="1:16">
      <c r="A208" s="85"/>
      <c r="B208" s="86"/>
      <c r="C208" s="86"/>
      <c r="D208" s="87"/>
      <c r="E208" s="87"/>
      <c r="F208" s="87"/>
      <c r="G208" s="87"/>
      <c r="H208" s="87"/>
      <c r="I208" s="87"/>
      <c r="J208" s="87"/>
      <c r="K208" s="87"/>
      <c r="L208" s="87"/>
      <c r="M208" s="87"/>
      <c r="N208" s="87"/>
      <c r="O208" s="87"/>
      <c r="P208" s="88"/>
    </row>
    <row r="209" spans="1:16">
      <c r="A209" s="85"/>
      <c r="B209" s="86"/>
      <c r="C209" s="86"/>
      <c r="D209" s="87"/>
      <c r="E209" s="87"/>
      <c r="F209" s="87"/>
      <c r="G209" s="87"/>
      <c r="H209" s="87"/>
      <c r="I209" s="87"/>
      <c r="J209" s="87"/>
      <c r="K209" s="87"/>
      <c r="L209" s="87"/>
      <c r="M209" s="87"/>
      <c r="N209" s="87"/>
      <c r="O209" s="87"/>
      <c r="P209" s="88"/>
    </row>
    <row r="210" spans="1:16">
      <c r="A210" s="85"/>
      <c r="B210" s="86"/>
      <c r="C210" s="86"/>
      <c r="D210" s="87"/>
      <c r="E210" s="87"/>
      <c r="F210" s="87"/>
      <c r="G210" s="87"/>
      <c r="H210" s="87"/>
      <c r="I210" s="87"/>
      <c r="J210" s="87"/>
      <c r="K210" s="87"/>
      <c r="L210" s="87"/>
      <c r="M210" s="87"/>
      <c r="N210" s="87"/>
      <c r="O210" s="87"/>
      <c r="P210" s="88"/>
    </row>
    <row r="211" spans="1:16">
      <c r="A211" s="85"/>
      <c r="B211" s="86"/>
      <c r="C211" s="86"/>
      <c r="D211" s="87"/>
      <c r="E211" s="87"/>
      <c r="F211" s="87"/>
      <c r="G211" s="87"/>
      <c r="H211" s="87"/>
      <c r="I211" s="87"/>
      <c r="J211" s="87"/>
      <c r="K211" s="87"/>
      <c r="L211" s="87"/>
      <c r="M211" s="87"/>
      <c r="N211" s="87"/>
      <c r="O211" s="87"/>
      <c r="P211" s="88"/>
    </row>
    <row r="212" spans="1:16">
      <c r="A212" s="85"/>
      <c r="B212" s="86"/>
      <c r="C212" s="86"/>
      <c r="D212" s="87"/>
      <c r="E212" s="87"/>
      <c r="F212" s="87"/>
      <c r="G212" s="87"/>
      <c r="H212" s="87"/>
      <c r="I212" s="87"/>
      <c r="J212" s="87"/>
      <c r="K212" s="87"/>
      <c r="L212" s="87"/>
      <c r="M212" s="87"/>
      <c r="N212" s="87"/>
      <c r="O212" s="87"/>
      <c r="P212" s="88"/>
    </row>
    <row r="213" spans="1:16">
      <c r="A213" s="85"/>
      <c r="B213" s="86"/>
      <c r="C213" s="86"/>
      <c r="D213" s="87"/>
      <c r="E213" s="87"/>
      <c r="F213" s="87"/>
      <c r="G213" s="87"/>
      <c r="H213" s="87"/>
      <c r="I213" s="87"/>
      <c r="J213" s="87"/>
      <c r="K213" s="87"/>
      <c r="L213" s="87"/>
      <c r="M213" s="87"/>
      <c r="N213" s="87"/>
      <c r="O213" s="87"/>
      <c r="P213" s="88"/>
    </row>
    <row r="214" spans="1:16">
      <c r="A214" s="85"/>
      <c r="B214" s="86"/>
      <c r="C214" s="86"/>
      <c r="D214" s="87"/>
      <c r="E214" s="87"/>
      <c r="F214" s="87"/>
      <c r="G214" s="87"/>
      <c r="H214" s="87"/>
      <c r="I214" s="87"/>
      <c r="J214" s="87"/>
      <c r="K214" s="87"/>
      <c r="L214" s="87"/>
      <c r="M214" s="87"/>
      <c r="N214" s="87"/>
      <c r="O214" s="87"/>
      <c r="P214" s="88"/>
    </row>
    <row r="215" spans="1:16">
      <c r="A215" s="85"/>
      <c r="B215" s="86"/>
      <c r="C215" s="86"/>
      <c r="D215" s="87"/>
      <c r="E215" s="87"/>
      <c r="F215" s="87"/>
      <c r="G215" s="87"/>
      <c r="H215" s="87"/>
      <c r="I215" s="87"/>
      <c r="J215" s="87"/>
      <c r="K215" s="87"/>
      <c r="L215" s="87"/>
      <c r="M215" s="87"/>
      <c r="N215" s="87"/>
      <c r="O215" s="87"/>
      <c r="P215" s="88"/>
    </row>
    <row r="216" spans="1:16">
      <c r="A216" s="85"/>
      <c r="B216" s="86"/>
      <c r="C216" s="86"/>
      <c r="D216" s="87"/>
      <c r="E216" s="87"/>
      <c r="F216" s="87"/>
      <c r="G216" s="87"/>
      <c r="H216" s="87"/>
      <c r="I216" s="87"/>
      <c r="J216" s="87"/>
      <c r="K216" s="87"/>
      <c r="L216" s="87"/>
      <c r="M216" s="87"/>
      <c r="N216" s="87"/>
      <c r="O216" s="87"/>
      <c r="P216" s="88"/>
    </row>
    <row r="217" spans="1:16">
      <c r="A217" s="85"/>
      <c r="B217" s="86"/>
      <c r="C217" s="86"/>
      <c r="D217" s="87"/>
      <c r="E217" s="87"/>
      <c r="F217" s="87"/>
      <c r="G217" s="87"/>
      <c r="H217" s="87"/>
      <c r="I217" s="87"/>
      <c r="J217" s="87"/>
      <c r="K217" s="87"/>
      <c r="L217" s="87"/>
      <c r="M217" s="87"/>
      <c r="N217" s="87"/>
      <c r="O217" s="87"/>
      <c r="P217" s="88"/>
    </row>
    <row r="218" spans="1:16">
      <c r="A218" s="85"/>
      <c r="B218" s="86"/>
      <c r="C218" s="86"/>
      <c r="D218" s="87"/>
      <c r="E218" s="87"/>
      <c r="F218" s="87"/>
      <c r="G218" s="87"/>
      <c r="H218" s="87"/>
      <c r="I218" s="87"/>
      <c r="J218" s="87"/>
      <c r="K218" s="87"/>
      <c r="L218" s="87"/>
      <c r="M218" s="87"/>
      <c r="N218" s="87"/>
      <c r="O218" s="87"/>
      <c r="P218" s="88"/>
    </row>
    <row r="219" spans="1:16">
      <c r="A219" s="85"/>
      <c r="B219" s="86"/>
      <c r="C219" s="86"/>
      <c r="D219" s="87"/>
      <c r="E219" s="87"/>
      <c r="F219" s="87"/>
      <c r="G219" s="87"/>
      <c r="H219" s="87"/>
      <c r="I219" s="87"/>
      <c r="J219" s="87"/>
      <c r="K219" s="87"/>
      <c r="L219" s="87"/>
      <c r="M219" s="87"/>
      <c r="N219" s="87"/>
      <c r="O219" s="87"/>
      <c r="P219" s="88"/>
    </row>
    <row r="220" spans="1:16">
      <c r="A220" s="85"/>
      <c r="B220" s="86"/>
      <c r="C220" s="86"/>
      <c r="D220" s="87"/>
      <c r="E220" s="87"/>
      <c r="F220" s="87"/>
      <c r="G220" s="87"/>
      <c r="H220" s="87"/>
      <c r="I220" s="87"/>
      <c r="J220" s="87"/>
      <c r="K220" s="87"/>
      <c r="L220" s="87"/>
      <c r="M220" s="87"/>
      <c r="N220" s="87"/>
      <c r="O220" s="87"/>
      <c r="P220" s="88"/>
    </row>
    <row r="221" spans="1:16">
      <c r="A221" s="85"/>
      <c r="B221" s="86"/>
      <c r="C221" s="86"/>
      <c r="D221" s="87"/>
      <c r="E221" s="87"/>
      <c r="F221" s="87"/>
      <c r="G221" s="87"/>
      <c r="H221" s="87"/>
      <c r="I221" s="87"/>
      <c r="J221" s="87"/>
      <c r="K221" s="87"/>
      <c r="L221" s="87"/>
      <c r="M221" s="87"/>
      <c r="N221" s="87"/>
      <c r="O221" s="87"/>
      <c r="P221" s="88"/>
    </row>
    <row r="222" spans="1:16">
      <c r="A222" s="85"/>
      <c r="B222" s="86"/>
      <c r="C222" s="86"/>
      <c r="D222" s="87"/>
      <c r="E222" s="87"/>
      <c r="F222" s="87"/>
      <c r="G222" s="87"/>
      <c r="H222" s="87"/>
      <c r="I222" s="87"/>
      <c r="J222" s="87"/>
      <c r="K222" s="87"/>
      <c r="L222" s="87"/>
      <c r="M222" s="87"/>
      <c r="N222" s="87"/>
      <c r="O222" s="87"/>
      <c r="P222" s="88"/>
    </row>
    <row r="223" spans="1:16">
      <c r="A223" s="85"/>
      <c r="B223" s="86"/>
      <c r="C223" s="86"/>
      <c r="D223" s="87"/>
      <c r="E223" s="87"/>
      <c r="F223" s="87"/>
      <c r="G223" s="87"/>
      <c r="H223" s="87"/>
      <c r="I223" s="87"/>
      <c r="J223" s="87"/>
      <c r="K223" s="87"/>
      <c r="L223" s="87"/>
      <c r="M223" s="87"/>
      <c r="N223" s="87"/>
      <c r="O223" s="87"/>
      <c r="P223" s="88"/>
    </row>
    <row r="224" spans="1:16">
      <c r="A224" s="85"/>
      <c r="B224" s="86"/>
      <c r="C224" s="86"/>
      <c r="D224" s="87"/>
      <c r="E224" s="87"/>
      <c r="F224" s="87"/>
      <c r="G224" s="87"/>
      <c r="H224" s="87"/>
      <c r="I224" s="87"/>
      <c r="J224" s="87"/>
      <c r="K224" s="87"/>
      <c r="L224" s="87"/>
      <c r="M224" s="87"/>
      <c r="N224" s="87"/>
      <c r="O224" s="87"/>
      <c r="P224" s="88"/>
    </row>
    <row r="225" spans="1:16">
      <c r="A225" s="85"/>
      <c r="B225" s="86"/>
      <c r="C225" s="86"/>
      <c r="D225" s="87"/>
      <c r="E225" s="87"/>
      <c r="F225" s="87"/>
      <c r="G225" s="87"/>
      <c r="H225" s="87"/>
      <c r="I225" s="87"/>
      <c r="J225" s="87"/>
      <c r="K225" s="87"/>
      <c r="L225" s="87"/>
      <c r="M225" s="87"/>
      <c r="N225" s="87"/>
      <c r="O225" s="87"/>
      <c r="P225" s="88"/>
    </row>
    <row r="226" spans="1:16">
      <c r="A226" s="85"/>
      <c r="B226" s="86"/>
      <c r="C226" s="86"/>
      <c r="D226" s="87"/>
      <c r="E226" s="87"/>
      <c r="F226" s="87"/>
      <c r="G226" s="87"/>
      <c r="H226" s="87"/>
      <c r="I226" s="87"/>
      <c r="J226" s="87"/>
      <c r="K226" s="87"/>
      <c r="L226" s="87"/>
      <c r="M226" s="87"/>
      <c r="N226" s="87"/>
      <c r="O226" s="87"/>
      <c r="P226" s="88"/>
    </row>
    <row r="227" spans="1:16">
      <c r="A227" s="85"/>
      <c r="B227" s="86"/>
      <c r="C227" s="86"/>
      <c r="D227" s="87"/>
      <c r="E227" s="87"/>
      <c r="F227" s="87"/>
      <c r="G227" s="87"/>
      <c r="H227" s="87"/>
      <c r="I227" s="87"/>
      <c r="J227" s="87"/>
      <c r="K227" s="87"/>
      <c r="L227" s="87"/>
      <c r="M227" s="87"/>
      <c r="N227" s="87"/>
      <c r="O227" s="87"/>
      <c r="P227" s="88"/>
    </row>
    <row r="228" spans="1:16">
      <c r="A228" s="85"/>
      <c r="B228" s="86"/>
      <c r="C228" s="86"/>
      <c r="D228" s="87"/>
      <c r="E228" s="87"/>
      <c r="F228" s="87"/>
      <c r="G228" s="87"/>
      <c r="H228" s="87"/>
      <c r="I228" s="87"/>
      <c r="J228" s="87"/>
      <c r="K228" s="87"/>
      <c r="L228" s="87"/>
      <c r="M228" s="87"/>
      <c r="N228" s="87"/>
      <c r="O228" s="87"/>
      <c r="P228" s="88"/>
    </row>
    <row r="229" spans="1:16">
      <c r="A229" s="85"/>
      <c r="B229" s="86"/>
      <c r="C229" s="86"/>
      <c r="D229" s="87"/>
      <c r="E229" s="87"/>
      <c r="F229" s="87"/>
      <c r="G229" s="87"/>
      <c r="H229" s="87"/>
      <c r="I229" s="87"/>
      <c r="J229" s="87"/>
      <c r="K229" s="87"/>
      <c r="L229" s="87"/>
      <c r="M229" s="87"/>
      <c r="N229" s="87"/>
      <c r="O229" s="87"/>
      <c r="P229" s="88"/>
    </row>
    <row r="230" spans="1:16">
      <c r="A230" s="85"/>
      <c r="B230" s="86"/>
      <c r="C230" s="86"/>
      <c r="D230" s="87"/>
      <c r="E230" s="87"/>
      <c r="F230" s="87"/>
      <c r="G230" s="87"/>
      <c r="H230" s="87"/>
      <c r="I230" s="87"/>
      <c r="J230" s="87"/>
      <c r="K230" s="87"/>
      <c r="L230" s="87"/>
      <c r="M230" s="87"/>
      <c r="N230" s="87"/>
      <c r="O230" s="87"/>
      <c r="P230" s="88"/>
    </row>
    <row r="231" spans="1:16">
      <c r="A231" s="85"/>
      <c r="B231" s="86"/>
      <c r="C231" s="86"/>
      <c r="D231" s="87"/>
      <c r="E231" s="87"/>
      <c r="F231" s="87"/>
      <c r="G231" s="87"/>
      <c r="H231" s="87"/>
      <c r="I231" s="87"/>
      <c r="J231" s="87"/>
      <c r="K231" s="87"/>
      <c r="L231" s="87"/>
      <c r="M231" s="87"/>
      <c r="N231" s="87"/>
      <c r="O231" s="87"/>
      <c r="P231" s="88"/>
    </row>
    <row r="232" spans="1:16">
      <c r="A232" s="85"/>
      <c r="B232" s="86"/>
      <c r="C232" s="86"/>
      <c r="D232" s="87"/>
      <c r="E232" s="87"/>
      <c r="F232" s="87"/>
      <c r="G232" s="87"/>
      <c r="H232" s="87"/>
      <c r="I232" s="87"/>
      <c r="J232" s="87"/>
      <c r="K232" s="87"/>
      <c r="L232" s="87"/>
      <c r="M232" s="87"/>
      <c r="N232" s="87"/>
      <c r="O232" s="87"/>
      <c r="P232" s="88"/>
    </row>
    <row r="233" spans="1:16">
      <c r="A233" s="85"/>
      <c r="B233" s="86"/>
      <c r="C233" s="86"/>
      <c r="D233" s="87"/>
      <c r="E233" s="87"/>
      <c r="F233" s="87"/>
      <c r="G233" s="87"/>
      <c r="H233" s="87"/>
      <c r="I233" s="87"/>
      <c r="J233" s="87"/>
      <c r="K233" s="87"/>
      <c r="L233" s="87"/>
      <c r="M233" s="87"/>
      <c r="N233" s="87"/>
      <c r="O233" s="87"/>
      <c r="P233" s="88"/>
    </row>
    <row r="234" spans="1:16">
      <c r="A234" s="85"/>
      <c r="B234" s="86"/>
      <c r="C234" s="86"/>
      <c r="D234" s="87"/>
      <c r="E234" s="87"/>
      <c r="F234" s="87"/>
      <c r="G234" s="87"/>
      <c r="H234" s="87"/>
      <c r="I234" s="87"/>
      <c r="J234" s="87"/>
      <c r="K234" s="87"/>
      <c r="L234" s="87"/>
      <c r="M234" s="87"/>
      <c r="N234" s="87"/>
      <c r="O234" s="87"/>
      <c r="P234" s="88"/>
    </row>
    <row r="235" spans="1:16">
      <c r="A235" s="85"/>
      <c r="B235" s="86"/>
      <c r="C235" s="86"/>
      <c r="D235" s="87"/>
      <c r="E235" s="87"/>
      <c r="F235" s="87"/>
      <c r="G235" s="87"/>
      <c r="H235" s="87"/>
      <c r="I235" s="87"/>
      <c r="J235" s="87"/>
      <c r="K235" s="87"/>
      <c r="L235" s="87"/>
      <c r="M235" s="87"/>
      <c r="N235" s="87"/>
      <c r="O235" s="87"/>
      <c r="P235" s="88"/>
    </row>
    <row r="236" spans="1:16">
      <c r="A236" s="85"/>
      <c r="B236" s="86"/>
      <c r="C236" s="86"/>
      <c r="D236" s="87"/>
      <c r="E236" s="87"/>
      <c r="F236" s="87"/>
      <c r="G236" s="87"/>
      <c r="H236" s="87"/>
      <c r="I236" s="87"/>
      <c r="J236" s="87"/>
      <c r="K236" s="87"/>
      <c r="L236" s="87"/>
      <c r="M236" s="87"/>
      <c r="N236" s="87"/>
      <c r="O236" s="87"/>
      <c r="P236" s="88"/>
    </row>
    <row r="237" spans="1:16">
      <c r="A237" s="85"/>
      <c r="B237" s="86"/>
      <c r="C237" s="86"/>
      <c r="D237" s="87"/>
      <c r="E237" s="87"/>
      <c r="F237" s="87"/>
      <c r="G237" s="87"/>
      <c r="H237" s="87"/>
      <c r="I237" s="87"/>
      <c r="J237" s="87"/>
      <c r="K237" s="87"/>
      <c r="L237" s="87"/>
      <c r="M237" s="87"/>
      <c r="N237" s="87"/>
      <c r="O237" s="87"/>
      <c r="P237" s="88"/>
    </row>
    <row r="238" spans="1:16">
      <c r="A238" s="85"/>
      <c r="B238" s="86"/>
      <c r="C238" s="86"/>
      <c r="D238" s="87"/>
      <c r="E238" s="87"/>
      <c r="F238" s="87"/>
      <c r="G238" s="87"/>
      <c r="H238" s="87"/>
      <c r="I238" s="87"/>
      <c r="J238" s="87"/>
      <c r="K238" s="87"/>
      <c r="L238" s="87"/>
      <c r="M238" s="87"/>
      <c r="N238" s="87"/>
      <c r="O238" s="87"/>
      <c r="P238" s="88"/>
    </row>
    <row r="239" spans="1:16">
      <c r="A239" s="85"/>
      <c r="B239" s="86"/>
      <c r="C239" s="86"/>
      <c r="D239" s="87"/>
      <c r="E239" s="87"/>
      <c r="F239" s="87"/>
      <c r="G239" s="87"/>
      <c r="H239" s="87"/>
      <c r="I239" s="87"/>
      <c r="J239" s="87"/>
      <c r="K239" s="87"/>
      <c r="L239" s="87"/>
      <c r="M239" s="87"/>
      <c r="N239" s="87"/>
      <c r="O239" s="87"/>
      <c r="P239" s="88"/>
    </row>
    <row r="240" spans="1:16">
      <c r="A240" s="85"/>
      <c r="B240" s="86"/>
      <c r="C240" s="86"/>
      <c r="D240" s="87"/>
      <c r="E240" s="87"/>
      <c r="F240" s="87"/>
      <c r="G240" s="87"/>
      <c r="H240" s="87"/>
      <c r="I240" s="87"/>
      <c r="J240" s="87"/>
      <c r="K240" s="87"/>
      <c r="L240" s="87"/>
      <c r="M240" s="87"/>
      <c r="N240" s="87"/>
      <c r="O240" s="87"/>
      <c r="P240" s="88"/>
    </row>
    <row r="241" spans="1:16">
      <c r="A241" s="85"/>
      <c r="B241" s="86"/>
      <c r="C241" s="86"/>
      <c r="D241" s="87"/>
      <c r="E241" s="87"/>
      <c r="F241" s="87"/>
      <c r="G241" s="87"/>
      <c r="H241" s="87"/>
      <c r="I241" s="87"/>
      <c r="J241" s="87"/>
      <c r="K241" s="87"/>
      <c r="L241" s="87"/>
      <c r="M241" s="87"/>
      <c r="N241" s="87"/>
      <c r="O241" s="87"/>
      <c r="P241" s="88"/>
    </row>
    <row r="242" spans="1:16">
      <c r="A242" s="85"/>
      <c r="B242" s="86"/>
      <c r="C242" s="86"/>
      <c r="D242" s="87"/>
      <c r="E242" s="87"/>
      <c r="F242" s="87"/>
      <c r="G242" s="87"/>
      <c r="H242" s="87"/>
      <c r="I242" s="87"/>
      <c r="J242" s="87"/>
      <c r="K242" s="87"/>
      <c r="L242" s="87"/>
      <c r="M242" s="87"/>
      <c r="N242" s="87"/>
      <c r="O242" s="87"/>
      <c r="P242" s="88"/>
    </row>
    <row r="243" spans="1:16">
      <c r="A243" s="85"/>
      <c r="B243" s="86"/>
      <c r="C243" s="86"/>
      <c r="D243" s="87"/>
      <c r="E243" s="87"/>
      <c r="F243" s="87"/>
      <c r="G243" s="87"/>
      <c r="H243" s="87"/>
      <c r="I243" s="87"/>
      <c r="J243" s="87"/>
      <c r="K243" s="87"/>
      <c r="L243" s="87"/>
      <c r="M243" s="87"/>
      <c r="N243" s="87"/>
      <c r="O243" s="87"/>
      <c r="P243" s="88"/>
    </row>
    <row r="244" spans="1:16">
      <c r="A244" s="85"/>
      <c r="B244" s="86"/>
      <c r="C244" s="86"/>
      <c r="D244" s="87"/>
      <c r="E244" s="87"/>
      <c r="F244" s="87"/>
      <c r="G244" s="87"/>
      <c r="H244" s="87"/>
      <c r="I244" s="87"/>
      <c r="J244" s="87"/>
      <c r="K244" s="87"/>
      <c r="L244" s="87"/>
      <c r="M244" s="87"/>
      <c r="N244" s="87"/>
      <c r="O244" s="87"/>
      <c r="P244" s="88"/>
    </row>
    <row r="245" spans="1:16">
      <c r="A245" s="85"/>
      <c r="B245" s="86"/>
      <c r="C245" s="86"/>
      <c r="D245" s="87"/>
      <c r="E245" s="87"/>
      <c r="F245" s="87"/>
      <c r="G245" s="87"/>
      <c r="H245" s="87"/>
      <c r="I245" s="87"/>
      <c r="J245" s="87"/>
      <c r="K245" s="87"/>
      <c r="L245" s="87"/>
      <c r="M245" s="87"/>
      <c r="N245" s="87"/>
      <c r="O245" s="87"/>
      <c r="P245" s="88"/>
    </row>
    <row r="246" spans="1:16">
      <c r="A246" s="85"/>
      <c r="B246" s="86"/>
      <c r="C246" s="86"/>
      <c r="D246" s="87"/>
      <c r="E246" s="87"/>
      <c r="F246" s="87"/>
      <c r="G246" s="87"/>
      <c r="H246" s="87"/>
      <c r="I246" s="87"/>
      <c r="J246" s="87"/>
      <c r="K246" s="87"/>
      <c r="L246" s="87"/>
      <c r="M246" s="87"/>
      <c r="N246" s="87"/>
      <c r="O246" s="87"/>
      <c r="P246" s="88"/>
    </row>
    <row r="247" spans="1:16">
      <c r="A247" s="85"/>
      <c r="B247" s="86"/>
      <c r="C247" s="86"/>
      <c r="D247" s="87"/>
      <c r="E247" s="87"/>
      <c r="F247" s="87"/>
      <c r="G247" s="87"/>
      <c r="H247" s="87"/>
      <c r="I247" s="87"/>
      <c r="J247" s="87"/>
      <c r="K247" s="87"/>
      <c r="L247" s="87"/>
      <c r="M247" s="87"/>
      <c r="N247" s="87"/>
      <c r="O247" s="87"/>
      <c r="P247" s="88"/>
    </row>
    <row r="248" spans="1:16">
      <c r="A248" s="85"/>
      <c r="B248" s="86"/>
      <c r="C248" s="86"/>
      <c r="D248" s="87"/>
      <c r="E248" s="87"/>
      <c r="F248" s="87"/>
      <c r="G248" s="87"/>
      <c r="H248" s="87"/>
      <c r="I248" s="87"/>
      <c r="J248" s="87"/>
      <c r="K248" s="87"/>
      <c r="L248" s="87"/>
      <c r="M248" s="87"/>
      <c r="N248" s="87"/>
      <c r="O248" s="87"/>
      <c r="P248" s="88"/>
    </row>
    <row r="249" spans="1:16">
      <c r="A249" s="85"/>
      <c r="B249" s="86"/>
      <c r="C249" s="86"/>
      <c r="D249" s="87"/>
      <c r="E249" s="87"/>
      <c r="F249" s="87"/>
      <c r="G249" s="87"/>
      <c r="H249" s="87"/>
      <c r="I249" s="87"/>
      <c r="J249" s="87"/>
      <c r="K249" s="87"/>
      <c r="L249" s="87"/>
      <c r="M249" s="87"/>
      <c r="N249" s="87"/>
      <c r="O249" s="87"/>
      <c r="P249" s="88"/>
    </row>
    <row r="250" spans="1:16">
      <c r="A250" s="85"/>
      <c r="B250" s="86"/>
      <c r="C250" s="86"/>
      <c r="D250" s="87"/>
      <c r="E250" s="87"/>
      <c r="F250" s="87"/>
      <c r="G250" s="87"/>
      <c r="H250" s="87"/>
      <c r="I250" s="87"/>
      <c r="J250" s="87"/>
      <c r="K250" s="87"/>
      <c r="L250" s="87"/>
      <c r="M250" s="87"/>
      <c r="N250" s="87"/>
      <c r="O250" s="87"/>
      <c r="P250" s="88"/>
    </row>
    <row r="251" spans="1:16">
      <c r="A251" s="85"/>
      <c r="B251" s="86"/>
      <c r="C251" s="86"/>
      <c r="D251" s="87"/>
      <c r="E251" s="87"/>
      <c r="F251" s="87"/>
      <c r="G251" s="87"/>
      <c r="H251" s="87"/>
      <c r="I251" s="87"/>
      <c r="J251" s="87"/>
      <c r="K251" s="87"/>
      <c r="L251" s="87"/>
      <c r="M251" s="87"/>
      <c r="N251" s="87"/>
      <c r="O251" s="87"/>
      <c r="P251" s="88"/>
    </row>
    <row r="252" spans="1:16">
      <c r="A252" s="85"/>
      <c r="B252" s="86"/>
      <c r="C252" s="86"/>
      <c r="D252" s="87"/>
      <c r="E252" s="87"/>
      <c r="F252" s="87"/>
      <c r="G252" s="87"/>
      <c r="H252" s="87"/>
      <c r="I252" s="87"/>
      <c r="J252" s="87"/>
      <c r="K252" s="87"/>
      <c r="L252" s="87"/>
      <c r="M252" s="87"/>
      <c r="N252" s="87"/>
      <c r="O252" s="87"/>
      <c r="P252" s="88"/>
    </row>
    <row r="253" spans="1:16">
      <c r="A253" s="85"/>
      <c r="B253" s="86"/>
      <c r="C253" s="86"/>
      <c r="D253" s="87"/>
      <c r="E253" s="87"/>
      <c r="F253" s="87"/>
      <c r="G253" s="87"/>
      <c r="H253" s="87"/>
      <c r="I253" s="87"/>
      <c r="J253" s="87"/>
      <c r="K253" s="87"/>
      <c r="L253" s="87"/>
      <c r="M253" s="87"/>
      <c r="N253" s="87"/>
      <c r="O253" s="87"/>
      <c r="P253" s="88"/>
    </row>
    <row r="254" spans="1:16">
      <c r="A254" s="85"/>
      <c r="B254" s="86"/>
      <c r="C254" s="86"/>
      <c r="D254" s="87"/>
      <c r="E254" s="87"/>
      <c r="F254" s="87"/>
      <c r="G254" s="87"/>
      <c r="H254" s="87"/>
      <c r="I254" s="87"/>
      <c r="J254" s="87"/>
      <c r="K254" s="87"/>
      <c r="L254" s="87"/>
      <c r="M254" s="87"/>
      <c r="N254" s="87"/>
      <c r="O254" s="87"/>
      <c r="P254" s="88"/>
    </row>
    <row r="255" spans="1:16">
      <c r="A255" s="85"/>
      <c r="B255" s="86"/>
      <c r="C255" s="86"/>
      <c r="D255" s="87"/>
      <c r="E255" s="87"/>
      <c r="F255" s="87"/>
      <c r="G255" s="87"/>
      <c r="H255" s="87"/>
      <c r="I255" s="87"/>
      <c r="J255" s="87"/>
      <c r="K255" s="87"/>
      <c r="L255" s="87"/>
      <c r="M255" s="87"/>
      <c r="N255" s="87"/>
      <c r="O255" s="87"/>
      <c r="P255" s="88"/>
    </row>
    <row r="256" spans="1:16">
      <c r="A256" s="85"/>
      <c r="B256" s="86"/>
      <c r="C256" s="86"/>
      <c r="D256" s="87"/>
      <c r="E256" s="87"/>
      <c r="F256" s="87"/>
      <c r="G256" s="87"/>
      <c r="H256" s="87"/>
      <c r="I256" s="87"/>
      <c r="J256" s="87"/>
      <c r="K256" s="87"/>
      <c r="L256" s="87"/>
      <c r="M256" s="87"/>
      <c r="N256" s="87"/>
      <c r="O256" s="87"/>
      <c r="P256" s="88"/>
    </row>
    <row r="257" spans="1:16">
      <c r="A257" s="85"/>
      <c r="B257" s="86"/>
      <c r="C257" s="86"/>
      <c r="D257" s="87"/>
      <c r="E257" s="87"/>
      <c r="F257" s="87"/>
      <c r="G257" s="87"/>
      <c r="H257" s="87"/>
      <c r="I257" s="87"/>
      <c r="J257" s="87"/>
      <c r="K257" s="87"/>
      <c r="L257" s="87"/>
      <c r="M257" s="87"/>
      <c r="N257" s="87"/>
      <c r="O257" s="87"/>
      <c r="P257" s="88"/>
    </row>
    <row r="258" spans="1:16">
      <c r="A258" s="85"/>
      <c r="B258" s="86"/>
      <c r="C258" s="86"/>
      <c r="D258" s="87"/>
      <c r="E258" s="87"/>
      <c r="F258" s="87"/>
      <c r="G258" s="87"/>
      <c r="H258" s="87"/>
      <c r="I258" s="87"/>
      <c r="J258" s="87"/>
      <c r="K258" s="87"/>
      <c r="L258" s="87"/>
      <c r="M258" s="87"/>
      <c r="N258" s="87"/>
      <c r="O258" s="87"/>
      <c r="P258" s="88"/>
    </row>
    <row r="259" spans="1:16">
      <c r="A259" s="85"/>
      <c r="B259" s="86"/>
      <c r="C259" s="86"/>
      <c r="D259" s="87"/>
      <c r="E259" s="87"/>
      <c r="F259" s="87"/>
      <c r="G259" s="87"/>
      <c r="H259" s="87"/>
      <c r="I259" s="87"/>
      <c r="J259" s="87"/>
      <c r="K259" s="87"/>
      <c r="L259" s="87"/>
      <c r="M259" s="87"/>
      <c r="N259" s="87"/>
      <c r="O259" s="87"/>
      <c r="P259" s="88"/>
    </row>
    <row r="260" spans="1:16">
      <c r="A260" s="85"/>
      <c r="B260" s="86"/>
      <c r="C260" s="86"/>
      <c r="D260" s="87"/>
      <c r="E260" s="87"/>
      <c r="F260" s="87"/>
      <c r="G260" s="87"/>
      <c r="H260" s="87"/>
      <c r="I260" s="87"/>
      <c r="J260" s="87"/>
      <c r="K260" s="87"/>
      <c r="L260" s="87"/>
      <c r="M260" s="87"/>
      <c r="N260" s="87"/>
      <c r="O260" s="87"/>
      <c r="P260" s="88"/>
    </row>
    <row r="261" spans="1:16">
      <c r="A261" s="85"/>
      <c r="B261" s="86"/>
      <c r="C261" s="86"/>
      <c r="D261" s="87"/>
      <c r="E261" s="87"/>
      <c r="F261" s="87"/>
      <c r="G261" s="87"/>
      <c r="H261" s="87"/>
      <c r="I261" s="87"/>
      <c r="J261" s="87"/>
      <c r="K261" s="87"/>
      <c r="L261" s="87"/>
      <c r="M261" s="87"/>
      <c r="N261" s="87"/>
      <c r="O261" s="87"/>
      <c r="P261" s="88"/>
    </row>
    <row r="262" spans="1:16">
      <c r="A262" s="85"/>
      <c r="B262" s="86"/>
      <c r="C262" s="86"/>
      <c r="D262" s="87"/>
      <c r="E262" s="87"/>
      <c r="F262" s="87"/>
      <c r="G262" s="87"/>
      <c r="H262" s="87"/>
      <c r="I262" s="87"/>
      <c r="J262" s="87"/>
      <c r="K262" s="87"/>
      <c r="L262" s="87"/>
      <c r="M262" s="87"/>
      <c r="N262" s="87"/>
      <c r="O262" s="87"/>
      <c r="P262" s="88"/>
    </row>
    <row r="263" spans="1:16">
      <c r="A263" s="85"/>
      <c r="B263" s="86"/>
      <c r="C263" s="86"/>
      <c r="D263" s="87"/>
      <c r="E263" s="87"/>
      <c r="F263" s="87"/>
      <c r="G263" s="87"/>
      <c r="H263" s="87"/>
      <c r="I263" s="87"/>
      <c r="J263" s="87"/>
      <c r="K263" s="87"/>
      <c r="L263" s="87"/>
      <c r="M263" s="87"/>
      <c r="N263" s="87"/>
      <c r="O263" s="87"/>
      <c r="P263" s="88"/>
    </row>
    <row r="264" spans="1:16">
      <c r="A264" s="85"/>
      <c r="B264" s="86"/>
      <c r="C264" s="86"/>
      <c r="D264" s="87"/>
      <c r="E264" s="87"/>
      <c r="F264" s="87"/>
      <c r="G264" s="87"/>
      <c r="H264" s="87"/>
      <c r="I264" s="87"/>
      <c r="J264" s="87"/>
      <c r="K264" s="87"/>
      <c r="L264" s="87"/>
      <c r="M264" s="87"/>
      <c r="N264" s="87"/>
      <c r="O264" s="87"/>
      <c r="P264" s="88"/>
    </row>
    <row r="265" spans="1:16">
      <c r="A265" s="85"/>
      <c r="B265" s="86"/>
      <c r="C265" s="86"/>
      <c r="D265" s="87"/>
      <c r="E265" s="87"/>
      <c r="F265" s="87"/>
      <c r="G265" s="87"/>
      <c r="H265" s="87"/>
      <c r="I265" s="87"/>
      <c r="J265" s="87"/>
      <c r="K265" s="87"/>
      <c r="L265" s="87"/>
      <c r="M265" s="87"/>
      <c r="N265" s="87"/>
      <c r="O265" s="87"/>
      <c r="P265" s="88"/>
    </row>
    <row r="266" spans="1:16">
      <c r="A266" s="85"/>
      <c r="B266" s="86"/>
      <c r="C266" s="86"/>
      <c r="D266" s="87"/>
      <c r="E266" s="87"/>
      <c r="F266" s="87"/>
      <c r="G266" s="87"/>
      <c r="H266" s="87"/>
      <c r="I266" s="87"/>
      <c r="J266" s="87"/>
      <c r="K266" s="87"/>
      <c r="L266" s="87"/>
      <c r="M266" s="87"/>
      <c r="N266" s="87"/>
      <c r="O266" s="87"/>
      <c r="P266" s="88"/>
    </row>
    <row r="267" spans="1:16">
      <c r="A267" s="85"/>
      <c r="B267" s="86"/>
      <c r="C267" s="86"/>
      <c r="D267" s="87"/>
      <c r="E267" s="87"/>
      <c r="F267" s="87"/>
      <c r="G267" s="87"/>
      <c r="H267" s="87"/>
      <c r="I267" s="87"/>
      <c r="J267" s="87"/>
      <c r="K267" s="87"/>
      <c r="L267" s="87"/>
      <c r="M267" s="87"/>
      <c r="N267" s="87"/>
      <c r="O267" s="87"/>
      <c r="P267" s="88"/>
    </row>
    <row r="268" spans="1:16">
      <c r="A268" s="85"/>
      <c r="B268" s="86"/>
      <c r="C268" s="86"/>
      <c r="D268" s="87"/>
      <c r="E268" s="87"/>
      <c r="F268" s="87"/>
      <c r="G268" s="87"/>
      <c r="H268" s="87"/>
      <c r="I268" s="87"/>
      <c r="J268" s="87"/>
      <c r="K268" s="87"/>
      <c r="L268" s="87"/>
      <c r="M268" s="87"/>
      <c r="N268" s="87"/>
      <c r="O268" s="87"/>
      <c r="P268" s="88"/>
    </row>
    <row r="269" spans="1:16">
      <c r="A269" s="85"/>
      <c r="B269" s="86"/>
      <c r="C269" s="86"/>
      <c r="D269" s="87"/>
      <c r="E269" s="87"/>
      <c r="F269" s="87"/>
      <c r="G269" s="87"/>
      <c r="H269" s="87"/>
      <c r="I269" s="87"/>
      <c r="J269" s="87"/>
      <c r="K269" s="87"/>
      <c r="L269" s="87"/>
      <c r="M269" s="87"/>
      <c r="N269" s="87"/>
      <c r="O269" s="87"/>
      <c r="P269" s="88"/>
    </row>
    <row r="270" spans="1:16">
      <c r="A270" s="85"/>
      <c r="B270" s="86"/>
      <c r="C270" s="86"/>
      <c r="D270" s="87"/>
      <c r="E270" s="87"/>
      <c r="F270" s="87"/>
      <c r="G270" s="87"/>
      <c r="H270" s="87"/>
      <c r="I270" s="87"/>
      <c r="J270" s="87"/>
      <c r="K270" s="87"/>
      <c r="L270" s="87"/>
      <c r="M270" s="87"/>
      <c r="N270" s="87"/>
      <c r="O270" s="87"/>
      <c r="P270" s="88"/>
    </row>
    <row r="271" spans="1:16">
      <c r="A271" s="85"/>
      <c r="B271" s="86"/>
      <c r="C271" s="86"/>
      <c r="D271" s="87"/>
      <c r="E271" s="87"/>
      <c r="F271" s="87"/>
      <c r="G271" s="87"/>
      <c r="H271" s="87"/>
      <c r="I271" s="87"/>
      <c r="J271" s="87"/>
      <c r="K271" s="87"/>
      <c r="L271" s="87"/>
      <c r="M271" s="87"/>
      <c r="N271" s="87"/>
      <c r="O271" s="87"/>
      <c r="P271" s="88"/>
    </row>
    <row r="272" spans="1:16">
      <c r="A272" s="85"/>
      <c r="B272" s="86"/>
      <c r="C272" s="86"/>
      <c r="D272" s="87"/>
      <c r="E272" s="87"/>
      <c r="F272" s="87"/>
      <c r="G272" s="87"/>
      <c r="H272" s="87"/>
      <c r="I272" s="87"/>
      <c r="J272" s="87"/>
      <c r="K272" s="87"/>
      <c r="L272" s="87"/>
      <c r="M272" s="87"/>
      <c r="N272" s="87"/>
      <c r="O272" s="87"/>
      <c r="P272" s="88"/>
    </row>
    <row r="273" spans="1:16">
      <c r="A273" s="85"/>
      <c r="B273" s="86"/>
      <c r="C273" s="86"/>
      <c r="D273" s="87"/>
      <c r="E273" s="87"/>
      <c r="F273" s="87"/>
      <c r="G273" s="87"/>
      <c r="H273" s="87"/>
      <c r="I273" s="87"/>
      <c r="J273" s="87"/>
      <c r="K273" s="87"/>
      <c r="L273" s="87"/>
      <c r="M273" s="87"/>
      <c r="N273" s="87"/>
      <c r="O273" s="87"/>
      <c r="P273" s="88"/>
    </row>
    <row r="274" spans="1:16">
      <c r="A274" s="85"/>
      <c r="B274" s="86"/>
      <c r="C274" s="86"/>
      <c r="D274" s="87"/>
      <c r="E274" s="87"/>
      <c r="F274" s="87"/>
      <c r="G274" s="87"/>
      <c r="H274" s="87"/>
      <c r="I274" s="87"/>
      <c r="J274" s="87"/>
      <c r="K274" s="87"/>
      <c r="L274" s="87"/>
      <c r="M274" s="87"/>
      <c r="N274" s="87"/>
      <c r="O274" s="87"/>
      <c r="P274" s="88"/>
    </row>
    <row r="275" spans="1:16">
      <c r="A275" s="85"/>
      <c r="B275" s="86"/>
      <c r="C275" s="86"/>
      <c r="D275" s="87"/>
      <c r="E275" s="87"/>
      <c r="F275" s="87"/>
      <c r="G275" s="87"/>
      <c r="H275" s="87"/>
      <c r="I275" s="87"/>
      <c r="J275" s="87"/>
      <c r="K275" s="87"/>
      <c r="L275" s="87"/>
      <c r="M275" s="87"/>
      <c r="N275" s="87"/>
      <c r="O275" s="87"/>
      <c r="P275" s="88"/>
    </row>
    <row r="276" spans="1:16">
      <c r="A276" s="85"/>
      <c r="B276" s="86"/>
      <c r="C276" s="86"/>
      <c r="D276" s="87"/>
      <c r="E276" s="87"/>
      <c r="F276" s="87"/>
      <c r="G276" s="87"/>
      <c r="H276" s="87"/>
      <c r="I276" s="87"/>
      <c r="J276" s="87"/>
      <c r="K276" s="87"/>
      <c r="L276" s="87"/>
      <c r="M276" s="87"/>
      <c r="N276" s="87"/>
      <c r="O276" s="87"/>
      <c r="P276" s="88"/>
    </row>
    <row r="277" spans="1:16">
      <c r="A277" s="85"/>
      <c r="B277" s="86"/>
      <c r="C277" s="86"/>
      <c r="D277" s="87"/>
      <c r="E277" s="87"/>
      <c r="F277" s="87"/>
      <c r="G277" s="87"/>
      <c r="H277" s="87"/>
      <c r="I277" s="87"/>
      <c r="J277" s="87"/>
      <c r="K277" s="87"/>
      <c r="L277" s="87"/>
      <c r="M277" s="87"/>
      <c r="N277" s="87"/>
      <c r="O277" s="87"/>
      <c r="P277" s="88"/>
    </row>
    <row r="278" spans="1:16">
      <c r="A278" s="85"/>
      <c r="B278" s="86"/>
      <c r="C278" s="86"/>
      <c r="D278" s="87"/>
      <c r="E278" s="87"/>
      <c r="F278" s="87"/>
      <c r="G278" s="87"/>
      <c r="H278" s="87"/>
      <c r="I278" s="87"/>
      <c r="J278" s="87"/>
      <c r="K278" s="87"/>
      <c r="L278" s="87"/>
      <c r="M278" s="87"/>
      <c r="N278" s="87"/>
      <c r="O278" s="87"/>
      <c r="P278" s="88"/>
    </row>
    <row r="279" spans="1:16">
      <c r="A279" s="85"/>
      <c r="B279" s="86"/>
      <c r="C279" s="86"/>
      <c r="D279" s="87"/>
      <c r="E279" s="87"/>
      <c r="F279" s="87"/>
      <c r="G279" s="87"/>
      <c r="H279" s="87"/>
      <c r="I279" s="87"/>
      <c r="J279" s="87"/>
      <c r="K279" s="87"/>
      <c r="L279" s="87"/>
      <c r="M279" s="87"/>
      <c r="N279" s="87"/>
      <c r="O279" s="87"/>
      <c r="P279" s="88"/>
    </row>
    <row r="280" spans="1:16">
      <c r="A280" s="85"/>
      <c r="B280" s="86"/>
      <c r="C280" s="86"/>
      <c r="D280" s="87"/>
      <c r="E280" s="87"/>
      <c r="F280" s="87"/>
      <c r="G280" s="87"/>
      <c r="H280" s="87"/>
      <c r="I280" s="87"/>
      <c r="J280" s="87"/>
      <c r="K280" s="87"/>
      <c r="L280" s="87"/>
      <c r="M280" s="87"/>
      <c r="N280" s="87"/>
      <c r="O280" s="87"/>
      <c r="P280" s="88"/>
    </row>
    <row r="281" spans="1:16">
      <c r="A281" s="85"/>
      <c r="B281" s="86"/>
      <c r="C281" s="86"/>
      <c r="D281" s="87"/>
      <c r="E281" s="87"/>
      <c r="F281" s="87"/>
      <c r="G281" s="87"/>
      <c r="H281" s="87"/>
      <c r="I281" s="87"/>
      <c r="J281" s="87"/>
      <c r="K281" s="87"/>
      <c r="L281" s="87"/>
      <c r="M281" s="87"/>
      <c r="N281" s="87"/>
      <c r="O281" s="87"/>
      <c r="P281" s="88"/>
    </row>
    <row r="282" spans="1:16">
      <c r="A282" s="85"/>
      <c r="B282" s="86"/>
      <c r="C282" s="86"/>
      <c r="D282" s="87"/>
      <c r="E282" s="87"/>
      <c r="F282" s="87"/>
      <c r="G282" s="87"/>
      <c r="H282" s="87"/>
      <c r="I282" s="87"/>
      <c r="J282" s="87"/>
      <c r="K282" s="87"/>
      <c r="L282" s="87"/>
      <c r="M282" s="87"/>
      <c r="N282" s="87"/>
      <c r="O282" s="87"/>
      <c r="P282" s="88"/>
    </row>
    <row r="283" spans="1:16">
      <c r="A283" s="85"/>
      <c r="B283" s="86"/>
      <c r="C283" s="86"/>
      <c r="D283" s="87"/>
      <c r="E283" s="87"/>
      <c r="F283" s="87"/>
      <c r="G283" s="87"/>
      <c r="H283" s="87"/>
      <c r="I283" s="87"/>
      <c r="J283" s="87"/>
      <c r="K283" s="87"/>
      <c r="L283" s="87"/>
      <c r="M283" s="87"/>
      <c r="N283" s="87"/>
      <c r="O283" s="87"/>
      <c r="P283" s="88"/>
    </row>
    <row r="284" spans="1:16">
      <c r="A284" s="85"/>
      <c r="B284" s="86"/>
      <c r="C284" s="86"/>
      <c r="D284" s="87"/>
      <c r="E284" s="87"/>
      <c r="F284" s="87"/>
      <c r="G284" s="87"/>
      <c r="H284" s="87"/>
      <c r="I284" s="87"/>
      <c r="J284" s="87"/>
      <c r="K284" s="87"/>
      <c r="L284" s="87"/>
      <c r="M284" s="87"/>
      <c r="N284" s="87"/>
      <c r="O284" s="87"/>
      <c r="P284" s="88"/>
    </row>
    <row r="285" spans="1:16">
      <c r="A285" s="85"/>
      <c r="B285" s="86"/>
      <c r="C285" s="86"/>
      <c r="D285" s="87"/>
      <c r="E285" s="87"/>
      <c r="F285" s="87"/>
      <c r="G285" s="87"/>
      <c r="H285" s="87"/>
      <c r="I285" s="87"/>
      <c r="J285" s="87"/>
      <c r="K285" s="87"/>
      <c r="L285" s="87"/>
      <c r="M285" s="87"/>
      <c r="N285" s="87"/>
      <c r="O285" s="87"/>
      <c r="P285" s="88"/>
    </row>
    <row r="286" spans="1:16">
      <c r="A286" s="85"/>
      <c r="B286" s="86"/>
      <c r="C286" s="86"/>
      <c r="D286" s="87"/>
      <c r="E286" s="87"/>
      <c r="F286" s="87"/>
      <c r="G286" s="87"/>
      <c r="H286" s="87"/>
      <c r="I286" s="87"/>
      <c r="J286" s="87"/>
      <c r="K286" s="87"/>
      <c r="L286" s="87"/>
      <c r="M286" s="87"/>
      <c r="N286" s="87"/>
      <c r="O286" s="87"/>
      <c r="P286" s="88"/>
    </row>
    <row r="287" spans="1:16">
      <c r="A287" s="85"/>
      <c r="B287" s="86"/>
      <c r="C287" s="86"/>
      <c r="D287" s="87"/>
      <c r="E287" s="87"/>
      <c r="F287" s="87"/>
      <c r="G287" s="87"/>
      <c r="H287" s="87"/>
      <c r="I287" s="87"/>
      <c r="J287" s="87"/>
      <c r="K287" s="87"/>
      <c r="L287" s="87"/>
      <c r="M287" s="87"/>
      <c r="N287" s="87"/>
      <c r="O287" s="87"/>
      <c r="P287" s="88"/>
    </row>
    <row r="288" spans="1:16">
      <c r="A288" s="85"/>
      <c r="B288" s="86"/>
      <c r="C288" s="86"/>
      <c r="D288" s="87"/>
      <c r="E288" s="87"/>
      <c r="F288" s="87"/>
      <c r="G288" s="87"/>
      <c r="H288" s="87"/>
      <c r="I288" s="87"/>
      <c r="J288" s="87"/>
      <c r="K288" s="87"/>
      <c r="L288" s="87"/>
      <c r="M288" s="87"/>
      <c r="N288" s="87"/>
      <c r="O288" s="87"/>
      <c r="P288" s="88"/>
    </row>
    <row r="289" spans="1:16">
      <c r="A289" s="85"/>
      <c r="B289" s="86"/>
      <c r="C289" s="86"/>
      <c r="D289" s="87"/>
      <c r="E289" s="87"/>
      <c r="F289" s="87"/>
      <c r="G289" s="87"/>
      <c r="H289" s="87"/>
      <c r="I289" s="87"/>
      <c r="J289" s="87"/>
      <c r="K289" s="87"/>
      <c r="L289" s="87"/>
      <c r="M289" s="87"/>
      <c r="N289" s="87"/>
      <c r="O289" s="87"/>
      <c r="P289" s="88"/>
    </row>
    <row r="290" spans="1:16">
      <c r="A290" s="85"/>
      <c r="B290" s="86"/>
      <c r="C290" s="86"/>
      <c r="D290" s="87"/>
      <c r="E290" s="87"/>
      <c r="F290" s="87"/>
      <c r="G290" s="87"/>
      <c r="H290" s="87"/>
      <c r="I290" s="87"/>
      <c r="J290" s="87"/>
      <c r="K290" s="87"/>
      <c r="L290" s="87"/>
      <c r="M290" s="87"/>
      <c r="N290" s="87"/>
      <c r="O290" s="87"/>
      <c r="P290" s="88"/>
    </row>
    <row r="291" spans="1:16">
      <c r="A291" s="85"/>
      <c r="B291" s="86"/>
      <c r="C291" s="86"/>
      <c r="D291" s="87"/>
      <c r="E291" s="87"/>
      <c r="F291" s="87"/>
      <c r="G291" s="87"/>
      <c r="H291" s="87"/>
      <c r="I291" s="87"/>
      <c r="J291" s="87"/>
      <c r="K291" s="87"/>
      <c r="L291" s="87"/>
      <c r="M291" s="87"/>
      <c r="N291" s="87"/>
      <c r="O291" s="87"/>
      <c r="P291" s="88"/>
    </row>
    <row r="292" spans="1:16">
      <c r="A292" s="85"/>
      <c r="B292" s="86"/>
      <c r="C292" s="86"/>
      <c r="D292" s="87"/>
      <c r="E292" s="87"/>
      <c r="F292" s="87"/>
      <c r="G292" s="87"/>
      <c r="H292" s="87"/>
      <c r="I292" s="87"/>
      <c r="J292" s="87"/>
      <c r="K292" s="87"/>
      <c r="L292" s="87"/>
      <c r="M292" s="87"/>
      <c r="N292" s="87"/>
      <c r="O292" s="87"/>
      <c r="P292" s="88"/>
    </row>
    <row r="293" spans="1:16">
      <c r="A293" s="85"/>
      <c r="B293" s="86"/>
      <c r="C293" s="86"/>
      <c r="D293" s="87"/>
      <c r="E293" s="87"/>
      <c r="F293" s="87"/>
      <c r="G293" s="87"/>
      <c r="H293" s="87"/>
      <c r="I293" s="87"/>
      <c r="J293" s="87"/>
      <c r="K293" s="87"/>
      <c r="L293" s="87"/>
      <c r="M293" s="87"/>
      <c r="N293" s="87"/>
      <c r="O293" s="87"/>
      <c r="P293" s="88"/>
    </row>
    <row r="294" spans="1:16">
      <c r="A294" s="85"/>
      <c r="B294" s="86"/>
      <c r="C294" s="86"/>
      <c r="D294" s="87"/>
      <c r="E294" s="87"/>
      <c r="F294" s="87"/>
      <c r="G294" s="87"/>
      <c r="H294" s="87"/>
      <c r="I294" s="87"/>
      <c r="J294" s="87"/>
      <c r="K294" s="87"/>
      <c r="L294" s="87"/>
      <c r="M294" s="87"/>
      <c r="N294" s="87"/>
      <c r="O294" s="87"/>
      <c r="P294" s="88"/>
    </row>
    <row r="295" spans="1:16">
      <c r="A295" s="85"/>
      <c r="B295" s="86"/>
      <c r="C295" s="86"/>
      <c r="D295" s="87"/>
      <c r="E295" s="87"/>
      <c r="F295" s="87"/>
      <c r="G295" s="87"/>
      <c r="H295" s="87"/>
      <c r="I295" s="87"/>
      <c r="J295" s="87"/>
      <c r="K295" s="87"/>
      <c r="L295" s="87"/>
      <c r="M295" s="87"/>
      <c r="N295" s="87"/>
      <c r="O295" s="87"/>
      <c r="P295" s="88"/>
    </row>
  </sheetData>
  <mergeCells count="1">
    <mergeCell ref="C3:C42"/>
  </mergeCells>
  <phoneticPr fontId="19" type="noConversion"/>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2" max="16383" man="1"/>
  </rowBreaks>
  <ignoredErrors>
    <ignoredError sqref="F10:H10" unlockedFormula="1"/>
  </ignoredErrors>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59999389629810485"/>
    <pageSetUpPr fitToPage="1"/>
  </sheetPr>
  <dimension ref="A1:V295"/>
  <sheetViews>
    <sheetView topLeftCell="A25" workbookViewId="0">
      <selection activeCell="J42" sqref="J42"/>
    </sheetView>
  </sheetViews>
  <sheetFormatPr baseColWidth="10" defaultColWidth="20.85546875" defaultRowHeight="12" x14ac:dyDescent="0"/>
  <cols>
    <col min="1" max="1" width="3.5703125" style="23" customWidth="1"/>
    <col min="2" max="2" width="32.42578125" style="4" customWidth="1"/>
    <col min="3" max="3" width="10.140625" style="4" customWidth="1"/>
    <col min="4" max="15" width="9.7109375" style="25" customWidth="1"/>
    <col min="16" max="16" width="44.85546875" style="3" customWidth="1"/>
    <col min="17" max="17" width="9.7109375" style="127" customWidth="1"/>
    <col min="18" max="18" width="10.140625" style="127" customWidth="1"/>
    <col min="19" max="22" width="8.7109375" style="127" customWidth="1"/>
    <col min="23" max="16384" width="20.85546875" style="86"/>
  </cols>
  <sheetData>
    <row r="1" spans="1:22" ht="27" customHeight="1">
      <c r="A1" s="1">
        <v>1</v>
      </c>
      <c r="B1" s="64" t="s">
        <v>163</v>
      </c>
      <c r="C1" s="23" t="s">
        <v>379</v>
      </c>
      <c r="D1" s="81" t="s">
        <v>215</v>
      </c>
      <c r="E1" s="79" t="str">
        <f>D1</f>
        <v>NN</v>
      </c>
      <c r="F1" s="79" t="str">
        <f t="shared" ref="F1:O1" si="0">E1</f>
        <v>NN</v>
      </c>
      <c r="G1" s="79" t="str">
        <f t="shared" si="0"/>
        <v>NN</v>
      </c>
      <c r="H1" s="79" t="str">
        <f t="shared" si="0"/>
        <v>NN</v>
      </c>
      <c r="I1" s="79" t="str">
        <f t="shared" si="0"/>
        <v>NN</v>
      </c>
      <c r="J1" s="79" t="str">
        <f t="shared" si="0"/>
        <v>NN</v>
      </c>
      <c r="K1" s="79" t="str">
        <f t="shared" si="0"/>
        <v>NN</v>
      </c>
      <c r="L1" s="79" t="str">
        <f t="shared" si="0"/>
        <v>NN</v>
      </c>
      <c r="M1" s="79" t="str">
        <f t="shared" si="0"/>
        <v>NN</v>
      </c>
      <c r="N1" s="79" t="str">
        <f t="shared" si="0"/>
        <v>NN</v>
      </c>
      <c r="O1" s="79" t="str">
        <f t="shared" si="0"/>
        <v>NN</v>
      </c>
      <c r="P1" s="3" t="s">
        <v>198</v>
      </c>
      <c r="Q1" s="92"/>
      <c r="R1" s="92"/>
      <c r="S1" s="92"/>
      <c r="T1" s="92"/>
      <c r="U1" s="92"/>
      <c r="V1" s="92"/>
    </row>
    <row r="2" spans="1:22" ht="14" customHeight="1">
      <c r="A2" s="5">
        <f t="shared" ref="A2:A44" si="1">A1+1</f>
        <v>2</v>
      </c>
      <c r="B2" s="94" t="s">
        <v>44</v>
      </c>
      <c r="C2" s="242" t="s">
        <v>358</v>
      </c>
      <c r="D2" s="78" t="str">
        <f>"AUG 10"</f>
        <v>AUG 10</v>
      </c>
      <c r="E2" s="78" t="str">
        <f>"SEP10"</f>
        <v>SEP10</v>
      </c>
      <c r="F2" s="78" t="str">
        <f>"OKT 10"</f>
        <v>OKT 10</v>
      </c>
      <c r="G2" s="78" t="str">
        <f>"NOV 10"</f>
        <v>NOV 10</v>
      </c>
      <c r="H2" s="78" t="str">
        <f>"DEC 10"</f>
        <v>DEC 10</v>
      </c>
      <c r="I2" s="78" t="str">
        <f>"JAN 11"</f>
        <v>JAN 11</v>
      </c>
      <c r="J2" s="78" t="str">
        <f>"FEB 11"</f>
        <v>FEB 11</v>
      </c>
      <c r="K2" s="78" t="str">
        <f>"MAR 11"</f>
        <v>MAR 11</v>
      </c>
      <c r="L2" s="265" t="str">
        <f>"APR 11"</f>
        <v>APR 11</v>
      </c>
      <c r="M2" s="265" t="str">
        <f>"MAJ11"</f>
        <v>MAJ11</v>
      </c>
      <c r="N2" s="265" t="str">
        <f>"JUN 11"</f>
        <v>JUN 11</v>
      </c>
      <c r="O2" s="265" t="str">
        <f>"JUL 11"</f>
        <v>JUL 11</v>
      </c>
      <c r="P2" s="263" t="s">
        <v>275</v>
      </c>
      <c r="Q2" s="92"/>
      <c r="R2" s="92"/>
      <c r="S2" s="92"/>
      <c r="T2" s="92"/>
      <c r="U2" s="92"/>
      <c r="V2" s="92"/>
    </row>
    <row r="3" spans="1:22" ht="27" customHeight="1">
      <c r="A3" s="5">
        <f t="shared" si="1"/>
        <v>3</v>
      </c>
      <c r="B3" s="168" t="s">
        <v>45</v>
      </c>
      <c r="C3" s="647" t="s">
        <v>75</v>
      </c>
      <c r="D3" s="196">
        <v>1</v>
      </c>
      <c r="E3" s="246">
        <v>1</v>
      </c>
      <c r="F3" s="246">
        <v>1</v>
      </c>
      <c r="G3" s="246">
        <v>1</v>
      </c>
      <c r="H3" s="246">
        <v>1</v>
      </c>
      <c r="I3" s="246">
        <v>1</v>
      </c>
      <c r="J3" s="246">
        <v>1</v>
      </c>
      <c r="K3" s="246">
        <v>1</v>
      </c>
      <c r="L3" s="247">
        <v>1</v>
      </c>
      <c r="M3" s="247">
        <v>1</v>
      </c>
      <c r="N3" s="247">
        <v>1</v>
      </c>
      <c r="O3" s="247">
        <v>1</v>
      </c>
      <c r="P3" s="7" t="s">
        <v>118</v>
      </c>
      <c r="Q3" s="92"/>
      <c r="R3" s="92"/>
      <c r="S3" s="92"/>
      <c r="T3" s="92"/>
      <c r="U3" s="92"/>
      <c r="V3" s="92"/>
    </row>
    <row r="4" spans="1:22" ht="14" customHeight="1">
      <c r="A4" s="5">
        <f t="shared" si="1"/>
        <v>4</v>
      </c>
      <c r="B4" s="169" t="s">
        <v>167</v>
      </c>
      <c r="C4" s="648"/>
      <c r="D4" s="197" t="s">
        <v>230</v>
      </c>
      <c r="E4" s="248" t="str">
        <f>D4</f>
        <v>Bh1</v>
      </c>
      <c r="F4" s="248" t="str">
        <f t="shared" ref="F4:O4" si="2">E4</f>
        <v>Bh1</v>
      </c>
      <c r="G4" s="248" t="str">
        <f t="shared" si="2"/>
        <v>Bh1</v>
      </c>
      <c r="H4" s="248" t="str">
        <f t="shared" si="2"/>
        <v>Bh1</v>
      </c>
      <c r="I4" s="248" t="str">
        <f t="shared" si="2"/>
        <v>Bh1</v>
      </c>
      <c r="J4" s="248" t="str">
        <f t="shared" si="2"/>
        <v>Bh1</v>
      </c>
      <c r="K4" s="248" t="str">
        <f t="shared" si="2"/>
        <v>Bh1</v>
      </c>
      <c r="L4" s="248" t="str">
        <f t="shared" si="2"/>
        <v>Bh1</v>
      </c>
      <c r="M4" s="248" t="str">
        <f t="shared" si="2"/>
        <v>Bh1</v>
      </c>
      <c r="N4" s="248" t="str">
        <f t="shared" si="2"/>
        <v>Bh1</v>
      </c>
      <c r="O4" s="248" t="str">
        <f t="shared" si="2"/>
        <v>Bh1</v>
      </c>
      <c r="P4" s="7" t="s">
        <v>216</v>
      </c>
      <c r="Q4" s="92"/>
      <c r="R4" s="92"/>
      <c r="S4" s="92"/>
      <c r="T4" s="92"/>
      <c r="U4" s="92"/>
      <c r="V4" s="92"/>
    </row>
    <row r="5" spans="1:22" ht="24" customHeight="1">
      <c r="A5" s="5">
        <f>A4+1</f>
        <v>5</v>
      </c>
      <c r="B5" s="170" t="s">
        <v>62</v>
      </c>
      <c r="C5" s="648"/>
      <c r="D5" s="197"/>
      <c r="E5" s="82" t="str">
        <f>IF(D5&lt;&gt;"",D5,"")</f>
        <v/>
      </c>
      <c r="F5" s="82" t="str">
        <f t="shared" ref="F5:O5" si="3">IF(E5&lt;&gt;"",E5,"")</f>
        <v/>
      </c>
      <c r="G5" s="82" t="str">
        <f t="shared" si="3"/>
        <v/>
      </c>
      <c r="H5" s="82" t="str">
        <f t="shared" si="3"/>
        <v/>
      </c>
      <c r="I5" s="82" t="str">
        <f t="shared" si="3"/>
        <v/>
      </c>
      <c r="J5" s="82" t="str">
        <f t="shared" si="3"/>
        <v/>
      </c>
      <c r="K5" s="82" t="str">
        <f t="shared" si="3"/>
        <v/>
      </c>
      <c r="L5" s="82" t="str">
        <f t="shared" si="3"/>
        <v/>
      </c>
      <c r="M5" s="82" t="str">
        <f t="shared" si="3"/>
        <v/>
      </c>
      <c r="N5" s="82" t="str">
        <f t="shared" si="3"/>
        <v/>
      </c>
      <c r="O5" s="82" t="str">
        <f t="shared" si="3"/>
        <v/>
      </c>
      <c r="P5" s="67" t="s">
        <v>63</v>
      </c>
      <c r="Q5" s="92"/>
      <c r="R5" s="92"/>
      <c r="S5" s="92"/>
      <c r="T5" s="92"/>
      <c r="U5" s="92"/>
      <c r="V5" s="92"/>
    </row>
    <row r="6" spans="1:22" ht="24" customHeight="1">
      <c r="A6" s="5">
        <f t="shared" si="1"/>
        <v>6</v>
      </c>
      <c r="B6" s="169" t="s">
        <v>123</v>
      </c>
      <c r="C6" s="648"/>
      <c r="D6" s="197" t="s">
        <v>229</v>
      </c>
      <c r="E6" s="80" t="str">
        <f>$D6</f>
        <v>L</v>
      </c>
      <c r="F6" s="80" t="str">
        <f t="shared" ref="F6:O8" si="4">$D6</f>
        <v>L</v>
      </c>
      <c r="G6" s="80" t="str">
        <f t="shared" si="4"/>
        <v>L</v>
      </c>
      <c r="H6" s="80" t="str">
        <f t="shared" si="4"/>
        <v>L</v>
      </c>
      <c r="I6" s="80" t="str">
        <f t="shared" si="4"/>
        <v>L</v>
      </c>
      <c r="J6" s="80" t="str">
        <f t="shared" si="4"/>
        <v>L</v>
      </c>
      <c r="K6" s="80" t="str">
        <f t="shared" si="4"/>
        <v>L</v>
      </c>
      <c r="L6" s="80" t="str">
        <f t="shared" si="4"/>
        <v>L</v>
      </c>
      <c r="M6" s="80" t="str">
        <f t="shared" si="4"/>
        <v>L</v>
      </c>
      <c r="N6" s="80" t="str">
        <f t="shared" si="4"/>
        <v>L</v>
      </c>
      <c r="O6" s="80" t="str">
        <f t="shared" si="4"/>
        <v>L</v>
      </c>
      <c r="P6" s="7" t="s">
        <v>18</v>
      </c>
      <c r="Q6" s="92"/>
      <c r="R6" s="92"/>
      <c r="S6" s="92"/>
      <c r="T6" s="92"/>
      <c r="U6" s="92"/>
      <c r="V6" s="92"/>
    </row>
    <row r="7" spans="1:22" ht="14" customHeight="1">
      <c r="A7" s="5">
        <f t="shared" si="1"/>
        <v>7</v>
      </c>
      <c r="B7" s="169" t="s">
        <v>223</v>
      </c>
      <c r="C7" s="648"/>
      <c r="D7" s="71">
        <v>1.3106599999999999</v>
      </c>
      <c r="E7" s="71">
        <v>1.3106599999999999</v>
      </c>
      <c r="F7" s="71">
        <v>1.3106599999999999</v>
      </c>
      <c r="G7" s="71">
        <v>1.3106599999999999</v>
      </c>
      <c r="H7" s="71">
        <v>1.3106599999999999</v>
      </c>
      <c r="I7" s="71">
        <v>1.3106599999999999</v>
      </c>
      <c r="J7" s="71">
        <v>1.3106599999999999</v>
      </c>
      <c r="K7" s="71">
        <v>1.3106599999999999</v>
      </c>
      <c r="L7" s="264">
        <v>1.3106599999999999</v>
      </c>
      <c r="M7" s="71">
        <f>L7</f>
        <v>1.3106599999999999</v>
      </c>
      <c r="N7" s="71">
        <f>M7</f>
        <v>1.3106599999999999</v>
      </c>
      <c r="O7" s="71">
        <f>N7</f>
        <v>1.3106599999999999</v>
      </c>
      <c r="P7" s="72" t="s">
        <v>195</v>
      </c>
      <c r="Q7" s="92"/>
      <c r="R7" s="92"/>
      <c r="S7" s="92"/>
      <c r="T7" s="92"/>
      <c r="U7" s="92"/>
      <c r="V7" s="92"/>
    </row>
    <row r="8" spans="1:22" ht="14" customHeight="1">
      <c r="A8" s="5">
        <f t="shared" si="1"/>
        <v>8</v>
      </c>
      <c r="B8" s="169" t="s">
        <v>139</v>
      </c>
      <c r="C8" s="648"/>
      <c r="D8" s="199">
        <v>3</v>
      </c>
      <c r="E8" s="80">
        <f>$D8</f>
        <v>3</v>
      </c>
      <c r="F8" s="80">
        <f t="shared" si="4"/>
        <v>3</v>
      </c>
      <c r="G8" s="80">
        <f t="shared" si="4"/>
        <v>3</v>
      </c>
      <c r="H8" s="80">
        <f t="shared" si="4"/>
        <v>3</v>
      </c>
      <c r="I8" s="80">
        <f t="shared" si="4"/>
        <v>3</v>
      </c>
      <c r="J8" s="80">
        <f t="shared" si="4"/>
        <v>3</v>
      </c>
      <c r="K8" s="80">
        <f t="shared" si="4"/>
        <v>3</v>
      </c>
      <c r="L8" s="80">
        <f t="shared" si="4"/>
        <v>3</v>
      </c>
      <c r="M8" s="80">
        <f t="shared" si="4"/>
        <v>3</v>
      </c>
      <c r="N8" s="80">
        <f t="shared" si="4"/>
        <v>3</v>
      </c>
      <c r="O8" s="80">
        <f t="shared" si="4"/>
        <v>3</v>
      </c>
      <c r="P8" s="3" t="s">
        <v>108</v>
      </c>
      <c r="Q8" s="92"/>
      <c r="R8" s="92"/>
      <c r="S8" s="92"/>
      <c r="T8" s="92"/>
      <c r="U8" s="92"/>
      <c r="V8" s="92"/>
    </row>
    <row r="9" spans="1:22" ht="24">
      <c r="A9" s="5">
        <f>A8+1</f>
        <v>9</v>
      </c>
      <c r="B9" s="169" t="s">
        <v>42</v>
      </c>
      <c r="C9" s="648"/>
      <c r="D9" s="151">
        <v>0.66139999999999999</v>
      </c>
      <c r="E9" s="249">
        <f>D9</f>
        <v>0.66139999999999999</v>
      </c>
      <c r="F9" s="249">
        <f t="shared" ref="F9:O12" si="5">E9</f>
        <v>0.66139999999999999</v>
      </c>
      <c r="G9" s="249">
        <f t="shared" si="5"/>
        <v>0.66139999999999999</v>
      </c>
      <c r="H9" s="249">
        <f t="shared" si="5"/>
        <v>0.66139999999999999</v>
      </c>
      <c r="I9" s="249">
        <f t="shared" si="5"/>
        <v>0.66139999999999999</v>
      </c>
      <c r="J9" s="249">
        <f t="shared" si="5"/>
        <v>0.66139999999999999</v>
      </c>
      <c r="K9" s="249">
        <f t="shared" si="5"/>
        <v>0.66139999999999999</v>
      </c>
      <c r="L9" s="249">
        <f t="shared" si="5"/>
        <v>0.66139999999999999</v>
      </c>
      <c r="M9" s="249">
        <f t="shared" si="5"/>
        <v>0.66139999999999999</v>
      </c>
      <c r="N9" s="249">
        <f t="shared" si="5"/>
        <v>0.66139999999999999</v>
      </c>
      <c r="O9" s="249">
        <f t="shared" si="5"/>
        <v>0.66139999999999999</v>
      </c>
      <c r="P9" s="7" t="s">
        <v>82</v>
      </c>
      <c r="Q9" s="92"/>
      <c r="R9" s="92"/>
      <c r="S9" s="92"/>
      <c r="T9" s="92"/>
      <c r="U9" s="92"/>
      <c r="V9" s="92"/>
    </row>
    <row r="10" spans="1:22" ht="24" customHeight="1">
      <c r="A10" s="5">
        <f t="shared" si="1"/>
        <v>10</v>
      </c>
      <c r="B10" s="169" t="s">
        <v>225</v>
      </c>
      <c r="C10" s="648"/>
      <c r="D10" s="200">
        <v>600</v>
      </c>
      <c r="E10" s="250">
        <f>D10</f>
        <v>600</v>
      </c>
      <c r="F10" s="250">
        <f t="shared" si="5"/>
        <v>600</v>
      </c>
      <c r="G10" s="250">
        <f t="shared" si="5"/>
        <v>600</v>
      </c>
      <c r="H10" s="250">
        <f t="shared" si="5"/>
        <v>600</v>
      </c>
      <c r="I10" s="250">
        <f t="shared" si="5"/>
        <v>600</v>
      </c>
      <c r="J10" s="250">
        <f t="shared" si="5"/>
        <v>600</v>
      </c>
      <c r="K10" s="250">
        <f t="shared" si="5"/>
        <v>600</v>
      </c>
      <c r="L10" s="250">
        <f t="shared" si="5"/>
        <v>600</v>
      </c>
      <c r="M10" s="250">
        <f t="shared" si="5"/>
        <v>600</v>
      </c>
      <c r="N10" s="250">
        <f t="shared" si="5"/>
        <v>600</v>
      </c>
      <c r="O10" s="250">
        <f t="shared" si="5"/>
        <v>600</v>
      </c>
      <c r="P10" s="7" t="s">
        <v>76</v>
      </c>
      <c r="Q10" s="92"/>
      <c r="R10" s="92"/>
      <c r="S10" s="92"/>
      <c r="T10" s="92"/>
      <c r="U10" s="92"/>
      <c r="V10" s="92"/>
    </row>
    <row r="11" spans="1:22" ht="24" customHeight="1">
      <c r="A11" s="5">
        <f t="shared" si="1"/>
        <v>11</v>
      </c>
      <c r="B11" s="171" t="s">
        <v>226</v>
      </c>
      <c r="C11" s="648"/>
      <c r="D11" s="201"/>
      <c r="E11" s="251">
        <f>D11</f>
        <v>0</v>
      </c>
      <c r="F11" s="251">
        <f t="shared" si="5"/>
        <v>0</v>
      </c>
      <c r="G11" s="251">
        <f t="shared" si="5"/>
        <v>0</v>
      </c>
      <c r="H11" s="251">
        <f t="shared" si="5"/>
        <v>0</v>
      </c>
      <c r="I11" s="251">
        <f t="shared" si="5"/>
        <v>0</v>
      </c>
      <c r="J11" s="251">
        <f t="shared" si="5"/>
        <v>0</v>
      </c>
      <c r="K11" s="251">
        <f t="shared" si="5"/>
        <v>0</v>
      </c>
      <c r="L11" s="251">
        <f t="shared" si="5"/>
        <v>0</v>
      </c>
      <c r="M11" s="251">
        <f t="shared" si="5"/>
        <v>0</v>
      </c>
      <c r="N11" s="251">
        <f t="shared" si="5"/>
        <v>0</v>
      </c>
      <c r="O11" s="251">
        <f t="shared" si="5"/>
        <v>0</v>
      </c>
      <c r="P11" s="13" t="s">
        <v>83</v>
      </c>
      <c r="Q11" s="92"/>
      <c r="R11" s="92"/>
      <c r="S11" s="92"/>
      <c r="T11" s="92"/>
      <c r="U11" s="92"/>
      <c r="V11" s="92"/>
    </row>
    <row r="12" spans="1:22" ht="24" customHeight="1">
      <c r="A12" s="5">
        <f t="shared" si="1"/>
        <v>12</v>
      </c>
      <c r="B12" s="172" t="s">
        <v>271</v>
      </c>
      <c r="C12" s="648"/>
      <c r="D12" s="201"/>
      <c r="E12" s="251">
        <f>D12</f>
        <v>0</v>
      </c>
      <c r="F12" s="251">
        <f t="shared" si="5"/>
        <v>0</v>
      </c>
      <c r="G12" s="251">
        <f t="shared" si="5"/>
        <v>0</v>
      </c>
      <c r="H12" s="251">
        <f t="shared" si="5"/>
        <v>0</v>
      </c>
      <c r="I12" s="251">
        <f t="shared" si="5"/>
        <v>0</v>
      </c>
      <c r="J12" s="251">
        <f t="shared" si="5"/>
        <v>0</v>
      </c>
      <c r="K12" s="251">
        <f t="shared" si="5"/>
        <v>0</v>
      </c>
      <c r="L12" s="251">
        <f t="shared" si="5"/>
        <v>0</v>
      </c>
      <c r="M12" s="251">
        <f t="shared" si="5"/>
        <v>0</v>
      </c>
      <c r="N12" s="251">
        <f t="shared" si="5"/>
        <v>0</v>
      </c>
      <c r="O12" s="251">
        <f t="shared" si="5"/>
        <v>0</v>
      </c>
      <c r="P12" s="3" t="s">
        <v>86</v>
      </c>
      <c r="Q12" s="92"/>
      <c r="R12" s="92"/>
      <c r="S12" s="92"/>
      <c r="T12" s="92"/>
      <c r="U12" s="92"/>
      <c r="V12" s="92"/>
    </row>
    <row r="13" spans="1:22" ht="24" customHeight="1">
      <c r="A13" s="5">
        <f>A12+1</f>
        <v>13</v>
      </c>
      <c r="B13" s="173" t="s">
        <v>271</v>
      </c>
      <c r="C13" s="648"/>
      <c r="D13" s="202"/>
      <c r="E13" s="252">
        <f t="shared" ref="E13:O20" si="6">D13</f>
        <v>0</v>
      </c>
      <c r="F13" s="252">
        <f t="shared" si="6"/>
        <v>0</v>
      </c>
      <c r="G13" s="252">
        <f t="shared" si="6"/>
        <v>0</v>
      </c>
      <c r="H13" s="252">
        <f t="shared" si="6"/>
        <v>0</v>
      </c>
      <c r="I13" s="252">
        <f t="shared" si="6"/>
        <v>0</v>
      </c>
      <c r="J13" s="252">
        <f t="shared" si="6"/>
        <v>0</v>
      </c>
      <c r="K13" s="252">
        <f t="shared" si="6"/>
        <v>0</v>
      </c>
      <c r="L13" s="252">
        <f t="shared" si="6"/>
        <v>0</v>
      </c>
      <c r="M13" s="252">
        <f t="shared" si="6"/>
        <v>0</v>
      </c>
      <c r="N13" s="252">
        <f t="shared" si="6"/>
        <v>0</v>
      </c>
      <c r="O13" s="252">
        <f t="shared" si="6"/>
        <v>0</v>
      </c>
      <c r="P13" s="3" t="s">
        <v>86</v>
      </c>
      <c r="Q13" s="92"/>
      <c r="R13" s="92"/>
      <c r="S13" s="92"/>
      <c r="T13" s="92"/>
      <c r="U13" s="92"/>
      <c r="V13" s="92"/>
    </row>
    <row r="14" spans="1:22" ht="24" customHeight="1">
      <c r="A14" s="5">
        <f t="shared" si="1"/>
        <v>14</v>
      </c>
      <c r="B14" s="174" t="s">
        <v>271</v>
      </c>
      <c r="C14" s="648"/>
      <c r="D14" s="203"/>
      <c r="E14" s="253">
        <f t="shared" si="6"/>
        <v>0</v>
      </c>
      <c r="F14" s="253">
        <f t="shared" si="6"/>
        <v>0</v>
      </c>
      <c r="G14" s="253">
        <f t="shared" si="6"/>
        <v>0</v>
      </c>
      <c r="H14" s="253">
        <f t="shared" si="6"/>
        <v>0</v>
      </c>
      <c r="I14" s="253">
        <f t="shared" si="6"/>
        <v>0</v>
      </c>
      <c r="J14" s="253">
        <f t="shared" si="6"/>
        <v>0</v>
      </c>
      <c r="K14" s="253">
        <f t="shared" si="6"/>
        <v>0</v>
      </c>
      <c r="L14" s="253">
        <f t="shared" si="6"/>
        <v>0</v>
      </c>
      <c r="M14" s="253">
        <f t="shared" si="6"/>
        <v>0</v>
      </c>
      <c r="N14" s="253">
        <f t="shared" si="6"/>
        <v>0</v>
      </c>
      <c r="O14" s="253">
        <f t="shared" si="6"/>
        <v>0</v>
      </c>
      <c r="P14" s="3" t="s">
        <v>86</v>
      </c>
      <c r="Q14" s="92"/>
      <c r="R14" s="92"/>
      <c r="S14" s="92"/>
      <c r="T14" s="92"/>
      <c r="U14" s="92"/>
      <c r="V14" s="92"/>
    </row>
    <row r="15" spans="1:22" ht="24" customHeight="1">
      <c r="A15" s="5">
        <f t="shared" si="1"/>
        <v>15</v>
      </c>
      <c r="B15" s="175" t="s">
        <v>201</v>
      </c>
      <c r="C15" s="648"/>
      <c r="D15" s="204"/>
      <c r="E15" s="254">
        <f t="shared" si="6"/>
        <v>0</v>
      </c>
      <c r="F15" s="254">
        <f t="shared" si="6"/>
        <v>0</v>
      </c>
      <c r="G15" s="254">
        <f t="shared" si="6"/>
        <v>0</v>
      </c>
      <c r="H15" s="254">
        <f t="shared" si="6"/>
        <v>0</v>
      </c>
      <c r="I15" s="254">
        <f t="shared" si="6"/>
        <v>0</v>
      </c>
      <c r="J15" s="254">
        <f t="shared" si="6"/>
        <v>0</v>
      </c>
      <c r="K15" s="254">
        <f t="shared" si="6"/>
        <v>0</v>
      </c>
      <c r="L15" s="254">
        <f t="shared" si="6"/>
        <v>0</v>
      </c>
      <c r="M15" s="254">
        <f t="shared" si="6"/>
        <v>0</v>
      </c>
      <c r="N15" s="254">
        <f t="shared" si="6"/>
        <v>0</v>
      </c>
      <c r="O15" s="254">
        <f t="shared" si="6"/>
        <v>0</v>
      </c>
      <c r="P15" s="3" t="s">
        <v>84</v>
      </c>
      <c r="Q15" s="92"/>
      <c r="R15" s="92"/>
      <c r="S15" s="92"/>
      <c r="T15" s="92"/>
      <c r="U15" s="92"/>
      <c r="V15" s="92"/>
    </row>
    <row r="16" spans="1:22" ht="24" customHeight="1">
      <c r="A16" s="5">
        <f t="shared" si="1"/>
        <v>16</v>
      </c>
      <c r="B16" s="172" t="s">
        <v>202</v>
      </c>
      <c r="C16" s="648"/>
      <c r="D16" s="201">
        <v>12000</v>
      </c>
      <c r="E16" s="251">
        <f t="shared" si="6"/>
        <v>12000</v>
      </c>
      <c r="F16" s="251">
        <f t="shared" si="6"/>
        <v>12000</v>
      </c>
      <c r="G16" s="251">
        <f t="shared" si="6"/>
        <v>12000</v>
      </c>
      <c r="H16" s="251">
        <f t="shared" si="6"/>
        <v>12000</v>
      </c>
      <c r="I16" s="251">
        <f t="shared" si="6"/>
        <v>12000</v>
      </c>
      <c r="J16" s="251">
        <f t="shared" si="6"/>
        <v>12000</v>
      </c>
      <c r="K16" s="251">
        <f t="shared" si="6"/>
        <v>12000</v>
      </c>
      <c r="L16" s="251">
        <f t="shared" si="6"/>
        <v>12000</v>
      </c>
      <c r="M16" s="251">
        <f t="shared" si="6"/>
        <v>12000</v>
      </c>
      <c r="N16" s="251">
        <f t="shared" si="6"/>
        <v>12000</v>
      </c>
      <c r="O16" s="251">
        <f t="shared" si="6"/>
        <v>12000</v>
      </c>
      <c r="P16" s="3" t="s">
        <v>84</v>
      </c>
      <c r="Q16" s="92"/>
      <c r="R16" s="92"/>
      <c r="S16" s="92"/>
      <c r="T16" s="92"/>
      <c r="U16" s="92"/>
      <c r="V16" s="92"/>
    </row>
    <row r="17" spans="1:22" ht="24" customHeight="1">
      <c r="A17" s="5">
        <f>A16+1</f>
        <v>17</v>
      </c>
      <c r="B17" s="176" t="s">
        <v>202</v>
      </c>
      <c r="C17" s="648"/>
      <c r="D17" s="202"/>
      <c r="E17" s="252">
        <f t="shared" si="6"/>
        <v>0</v>
      </c>
      <c r="F17" s="252">
        <f t="shared" si="6"/>
        <v>0</v>
      </c>
      <c r="G17" s="252">
        <f t="shared" si="6"/>
        <v>0</v>
      </c>
      <c r="H17" s="252">
        <f t="shared" si="6"/>
        <v>0</v>
      </c>
      <c r="I17" s="252">
        <f t="shared" si="6"/>
        <v>0</v>
      </c>
      <c r="J17" s="252">
        <f t="shared" si="6"/>
        <v>0</v>
      </c>
      <c r="K17" s="252">
        <f t="shared" si="6"/>
        <v>0</v>
      </c>
      <c r="L17" s="252">
        <f t="shared" si="6"/>
        <v>0</v>
      </c>
      <c r="M17" s="252">
        <f t="shared" si="6"/>
        <v>0</v>
      </c>
      <c r="N17" s="252">
        <f t="shared" si="6"/>
        <v>0</v>
      </c>
      <c r="O17" s="252">
        <f t="shared" si="6"/>
        <v>0</v>
      </c>
      <c r="P17" s="3" t="s">
        <v>84</v>
      </c>
      <c r="Q17" s="92"/>
      <c r="R17" s="92"/>
      <c r="S17" s="92"/>
      <c r="T17" s="92"/>
      <c r="U17" s="92"/>
      <c r="V17" s="92"/>
    </row>
    <row r="18" spans="1:22" ht="24" customHeight="1">
      <c r="A18" s="5">
        <f t="shared" si="1"/>
        <v>18</v>
      </c>
      <c r="B18" s="174" t="s">
        <v>217</v>
      </c>
      <c r="C18" s="648"/>
      <c r="D18" s="205"/>
      <c r="E18" s="255">
        <f t="shared" si="6"/>
        <v>0</v>
      </c>
      <c r="F18" s="255">
        <f t="shared" si="6"/>
        <v>0</v>
      </c>
      <c r="G18" s="255">
        <f t="shared" si="6"/>
        <v>0</v>
      </c>
      <c r="H18" s="255">
        <f t="shared" si="6"/>
        <v>0</v>
      </c>
      <c r="I18" s="255">
        <f t="shared" si="6"/>
        <v>0</v>
      </c>
      <c r="J18" s="255">
        <f t="shared" si="6"/>
        <v>0</v>
      </c>
      <c r="K18" s="255">
        <f t="shared" si="6"/>
        <v>0</v>
      </c>
      <c r="L18" s="255">
        <f t="shared" si="6"/>
        <v>0</v>
      </c>
      <c r="M18" s="255">
        <f t="shared" si="6"/>
        <v>0</v>
      </c>
      <c r="N18" s="255">
        <f t="shared" si="6"/>
        <v>0</v>
      </c>
      <c r="O18" s="255">
        <f t="shared" si="6"/>
        <v>0</v>
      </c>
      <c r="P18" s="3" t="s">
        <v>84</v>
      </c>
      <c r="Q18" s="92"/>
      <c r="R18" s="92"/>
      <c r="S18" s="92"/>
      <c r="T18" s="92"/>
      <c r="U18" s="92"/>
      <c r="V18" s="92"/>
    </row>
    <row r="19" spans="1:22" ht="24" customHeight="1">
      <c r="A19" s="5">
        <f t="shared" si="1"/>
        <v>19</v>
      </c>
      <c r="B19" s="177" t="s">
        <v>218</v>
      </c>
      <c r="C19" s="648"/>
      <c r="D19" s="206" t="s">
        <v>265</v>
      </c>
      <c r="E19" s="256" t="str">
        <f>D19</f>
        <v>NEJ</v>
      </c>
      <c r="F19" s="256" t="str">
        <f t="shared" si="6"/>
        <v>NEJ</v>
      </c>
      <c r="G19" s="256" t="str">
        <f t="shared" si="6"/>
        <v>NEJ</v>
      </c>
      <c r="H19" s="256" t="str">
        <f t="shared" si="6"/>
        <v>NEJ</v>
      </c>
      <c r="I19" s="256" t="str">
        <f t="shared" si="6"/>
        <v>NEJ</v>
      </c>
      <c r="J19" s="256" t="str">
        <f t="shared" si="6"/>
        <v>NEJ</v>
      </c>
      <c r="K19" s="256" t="str">
        <f t="shared" si="6"/>
        <v>NEJ</v>
      </c>
      <c r="L19" s="256" t="str">
        <f t="shared" si="6"/>
        <v>NEJ</v>
      </c>
      <c r="M19" s="256" t="str">
        <f t="shared" si="6"/>
        <v>NEJ</v>
      </c>
      <c r="N19" s="256" t="str">
        <f t="shared" si="6"/>
        <v>NEJ</v>
      </c>
      <c r="O19" s="256" t="str">
        <f t="shared" si="6"/>
        <v>NEJ</v>
      </c>
      <c r="P19" s="7" t="s">
        <v>200</v>
      </c>
      <c r="Q19" s="92"/>
      <c r="R19" s="92"/>
      <c r="S19" s="92"/>
      <c r="T19" s="92"/>
      <c r="U19" s="92"/>
      <c r="V19" s="92"/>
    </row>
    <row r="20" spans="1:22" ht="14" customHeight="1">
      <c r="A20" s="5">
        <f t="shared" si="1"/>
        <v>20</v>
      </c>
      <c r="B20" s="178" t="s">
        <v>267</v>
      </c>
      <c r="C20" s="648"/>
      <c r="D20" s="207">
        <v>0</v>
      </c>
      <c r="E20" s="257">
        <f>D20</f>
        <v>0</v>
      </c>
      <c r="F20" s="257">
        <f t="shared" si="6"/>
        <v>0</v>
      </c>
      <c r="G20" s="257">
        <f t="shared" si="6"/>
        <v>0</v>
      </c>
      <c r="H20" s="257">
        <f t="shared" si="6"/>
        <v>0</v>
      </c>
      <c r="I20" s="257">
        <f t="shared" si="6"/>
        <v>0</v>
      </c>
      <c r="J20" s="257">
        <f t="shared" si="6"/>
        <v>0</v>
      </c>
      <c r="K20" s="257">
        <f t="shared" si="6"/>
        <v>0</v>
      </c>
      <c r="L20" s="257">
        <f t="shared" si="6"/>
        <v>0</v>
      </c>
      <c r="M20" s="257">
        <f t="shared" si="6"/>
        <v>0</v>
      </c>
      <c r="N20" s="257">
        <f t="shared" si="6"/>
        <v>0</v>
      </c>
      <c r="O20" s="257">
        <f t="shared" si="6"/>
        <v>0</v>
      </c>
      <c r="P20" s="148" t="s">
        <v>165</v>
      </c>
      <c r="Q20" s="92"/>
      <c r="R20" s="92"/>
      <c r="S20" s="92"/>
      <c r="T20" s="92"/>
      <c r="U20" s="92"/>
      <c r="V20" s="92"/>
    </row>
    <row r="21" spans="1:22" ht="14" customHeight="1">
      <c r="A21" s="5">
        <f t="shared" si="1"/>
        <v>21</v>
      </c>
      <c r="B21" s="179" t="s">
        <v>231</v>
      </c>
      <c r="C21" s="648"/>
      <c r="D21" s="208">
        <v>5</v>
      </c>
      <c r="E21" s="152"/>
      <c r="F21" s="152"/>
      <c r="G21" s="152"/>
      <c r="H21" s="152"/>
      <c r="I21" s="152"/>
      <c r="J21" s="152"/>
      <c r="K21" s="152"/>
      <c r="L21" s="152"/>
      <c r="M21" s="152">
        <v>9.9999999999999995E-8</v>
      </c>
      <c r="N21" s="152"/>
      <c r="O21" s="152">
        <v>20</v>
      </c>
      <c r="P21" s="3" t="s">
        <v>232</v>
      </c>
      <c r="Q21" s="92"/>
      <c r="R21" s="92"/>
      <c r="S21" s="92"/>
      <c r="T21" s="92"/>
      <c r="U21" s="92"/>
      <c r="V21" s="92"/>
    </row>
    <row r="22" spans="1:22" ht="27" customHeight="1">
      <c r="A22" s="5">
        <f t="shared" si="1"/>
        <v>22</v>
      </c>
      <c r="B22" s="135" t="s">
        <v>240</v>
      </c>
      <c r="C22" s="648"/>
      <c r="D22" s="209">
        <v>5</v>
      </c>
      <c r="E22" s="153"/>
      <c r="F22" s="153"/>
      <c r="G22" s="153"/>
      <c r="H22" s="153"/>
      <c r="I22" s="153"/>
      <c r="J22" s="153"/>
      <c r="K22" s="153"/>
      <c r="L22" s="153"/>
      <c r="M22" s="153"/>
      <c r="N22" s="153"/>
      <c r="O22" s="153">
        <v>0</v>
      </c>
      <c r="P22" s="3" t="s">
        <v>206</v>
      </c>
      <c r="Q22" s="92"/>
      <c r="R22" s="92"/>
      <c r="S22" s="92"/>
      <c r="T22" s="92"/>
      <c r="U22" s="92"/>
      <c r="V22" s="92"/>
    </row>
    <row r="23" spans="1:22" ht="14" customHeight="1">
      <c r="A23" s="5">
        <f t="shared" si="1"/>
        <v>23</v>
      </c>
      <c r="B23" s="180" t="s">
        <v>256</v>
      </c>
      <c r="C23" s="649"/>
      <c r="D23" s="210">
        <v>0</v>
      </c>
      <c r="E23" s="258">
        <f t="shared" ref="E23:L23" si="7">D23</f>
        <v>0</v>
      </c>
      <c r="F23" s="258">
        <f t="shared" si="7"/>
        <v>0</v>
      </c>
      <c r="G23" s="258">
        <f t="shared" si="7"/>
        <v>0</v>
      </c>
      <c r="H23" s="258">
        <f t="shared" si="7"/>
        <v>0</v>
      </c>
      <c r="I23" s="258">
        <f t="shared" si="7"/>
        <v>0</v>
      </c>
      <c r="J23" s="258">
        <f t="shared" si="7"/>
        <v>0</v>
      </c>
      <c r="K23" s="258">
        <f t="shared" si="7"/>
        <v>0</v>
      </c>
      <c r="L23" s="258">
        <f t="shared" si="7"/>
        <v>0</v>
      </c>
      <c r="M23" s="166"/>
      <c r="N23" s="154"/>
      <c r="O23" s="154"/>
      <c r="P23" s="150" t="s">
        <v>270</v>
      </c>
      <c r="Q23" s="92"/>
      <c r="R23" s="92"/>
      <c r="S23" s="92"/>
      <c r="T23" s="92"/>
      <c r="U23" s="92"/>
      <c r="V23" s="92"/>
    </row>
    <row r="24" spans="1:22" ht="14" customHeight="1">
      <c r="A24" s="5">
        <f t="shared" si="1"/>
        <v>24</v>
      </c>
      <c r="B24" s="181" t="s">
        <v>255</v>
      </c>
      <c r="C24" s="649"/>
      <c r="D24" s="143" t="s">
        <v>221</v>
      </c>
      <c r="E24" s="155"/>
      <c r="F24" s="155"/>
      <c r="G24" s="155"/>
      <c r="H24" s="155"/>
      <c r="I24" s="155"/>
      <c r="J24" s="155"/>
      <c r="K24" s="155"/>
      <c r="L24" s="167"/>
      <c r="M24" s="420">
        <f>ROUND((0.8*5.53571428571429+0.6614*5)/11.5357142857143,4)</f>
        <v>0.67059999999999997</v>
      </c>
      <c r="N24" s="259">
        <f>M24</f>
        <v>0.67059999999999997</v>
      </c>
      <c r="O24" s="259">
        <f>N24</f>
        <v>0.67059999999999997</v>
      </c>
      <c r="P24" s="147" t="s">
        <v>269</v>
      </c>
      <c r="Q24" s="92"/>
      <c r="R24" s="92"/>
      <c r="S24" s="92"/>
      <c r="T24" s="92"/>
      <c r="U24" s="92"/>
      <c r="V24" s="92"/>
    </row>
    <row r="25" spans="1:22" ht="14" customHeight="1">
      <c r="A25" s="5">
        <f t="shared" si="1"/>
        <v>25</v>
      </c>
      <c r="B25" s="182" t="s">
        <v>211</v>
      </c>
      <c r="C25" s="649"/>
      <c r="D25" s="211"/>
      <c r="E25" s="129"/>
      <c r="F25" s="129"/>
      <c r="G25" s="129"/>
      <c r="H25" s="129"/>
      <c r="I25" s="129"/>
      <c r="J25" s="129"/>
      <c r="K25" s="129"/>
      <c r="L25" s="129"/>
      <c r="M25" s="129"/>
      <c r="N25" s="129"/>
      <c r="O25" s="129"/>
      <c r="P25" s="148" t="s">
        <v>264</v>
      </c>
      <c r="Q25" s="92"/>
      <c r="R25" s="92"/>
      <c r="S25" s="92"/>
      <c r="T25" s="92"/>
      <c r="U25" s="92"/>
      <c r="V25" s="92"/>
    </row>
    <row r="26" spans="1:22" ht="14" customHeight="1">
      <c r="A26" s="5">
        <f t="shared" si="1"/>
        <v>26</v>
      </c>
      <c r="B26" s="183" t="s">
        <v>212</v>
      </c>
      <c r="C26" s="649"/>
      <c r="D26" s="212">
        <v>42</v>
      </c>
      <c r="E26" s="260">
        <f>D26</f>
        <v>42</v>
      </c>
      <c r="F26" s="260">
        <f t="shared" ref="F26:O26" si="8">E26</f>
        <v>42</v>
      </c>
      <c r="G26" s="260">
        <f t="shared" si="8"/>
        <v>42</v>
      </c>
      <c r="H26" s="260">
        <f t="shared" si="8"/>
        <v>42</v>
      </c>
      <c r="I26" s="362">
        <v>41</v>
      </c>
      <c r="J26" s="260">
        <f t="shared" si="8"/>
        <v>41</v>
      </c>
      <c r="K26" s="260">
        <f t="shared" si="8"/>
        <v>41</v>
      </c>
      <c r="L26" s="260">
        <f t="shared" si="8"/>
        <v>41</v>
      </c>
      <c r="M26" s="260">
        <f t="shared" si="8"/>
        <v>41</v>
      </c>
      <c r="N26" s="260">
        <f t="shared" si="8"/>
        <v>41</v>
      </c>
      <c r="O26" s="260">
        <f t="shared" si="8"/>
        <v>41</v>
      </c>
      <c r="P26" s="3" t="s">
        <v>23</v>
      </c>
      <c r="Q26" s="92"/>
      <c r="R26" s="92"/>
      <c r="S26" s="92"/>
      <c r="T26" s="92"/>
      <c r="U26" s="92"/>
      <c r="V26" s="92"/>
    </row>
    <row r="27" spans="1:22" ht="14" customHeight="1">
      <c r="A27" s="5">
        <f t="shared" si="1"/>
        <v>27</v>
      </c>
      <c r="B27" s="182" t="s">
        <v>213</v>
      </c>
      <c r="C27" s="649"/>
      <c r="D27" s="213">
        <v>5000</v>
      </c>
      <c r="E27" s="261">
        <f>D27</f>
        <v>5000</v>
      </c>
      <c r="F27" s="261">
        <f t="shared" ref="F27:O27" si="9">E27</f>
        <v>5000</v>
      </c>
      <c r="G27" s="261">
        <f t="shared" si="9"/>
        <v>5000</v>
      </c>
      <c r="H27" s="261">
        <f t="shared" si="9"/>
        <v>5000</v>
      </c>
      <c r="I27" s="363">
        <v>5120</v>
      </c>
      <c r="J27" s="261">
        <f t="shared" si="9"/>
        <v>5120</v>
      </c>
      <c r="K27" s="261">
        <f t="shared" si="9"/>
        <v>5120</v>
      </c>
      <c r="L27" s="261">
        <f t="shared" si="9"/>
        <v>5120</v>
      </c>
      <c r="M27" s="261">
        <f t="shared" si="9"/>
        <v>5120</v>
      </c>
      <c r="N27" s="261">
        <f t="shared" si="9"/>
        <v>5120</v>
      </c>
      <c r="O27" s="261">
        <f t="shared" si="9"/>
        <v>5120</v>
      </c>
      <c r="P27" s="148"/>
      <c r="Q27" s="92"/>
      <c r="R27" s="92"/>
      <c r="S27" s="92"/>
      <c r="T27" s="92"/>
      <c r="U27" s="92"/>
      <c r="V27" s="92"/>
    </row>
    <row r="28" spans="1:22">
      <c r="A28" s="5">
        <f t="shared" si="1"/>
        <v>28</v>
      </c>
      <c r="B28" s="184" t="s">
        <v>154</v>
      </c>
      <c r="C28" s="649"/>
      <c r="D28" s="234"/>
      <c r="E28" s="235"/>
      <c r="F28" s="235"/>
      <c r="G28" s="235"/>
      <c r="H28" s="235"/>
      <c r="I28" s="235"/>
      <c r="J28" s="235"/>
      <c r="K28" s="235"/>
      <c r="L28" s="235"/>
      <c r="M28" s="235"/>
      <c r="N28" s="235"/>
      <c r="O28" s="235"/>
      <c r="P28" s="7" t="s">
        <v>150</v>
      </c>
      <c r="Q28" s="92"/>
      <c r="R28" s="92"/>
      <c r="S28" s="92"/>
      <c r="T28" s="92"/>
      <c r="U28" s="92"/>
      <c r="V28" s="92"/>
    </row>
    <row r="29" spans="1:22">
      <c r="A29" s="5">
        <f t="shared" si="1"/>
        <v>29</v>
      </c>
      <c r="B29" s="185" t="s">
        <v>164</v>
      </c>
      <c r="C29" s="649"/>
      <c r="D29" s="236"/>
      <c r="E29" s="237"/>
      <c r="F29" s="237"/>
      <c r="G29" s="237"/>
      <c r="H29" s="237"/>
      <c r="I29" s="237"/>
      <c r="J29" s="237"/>
      <c r="K29" s="237"/>
      <c r="L29" s="237"/>
      <c r="M29" s="237"/>
      <c r="N29" s="237"/>
      <c r="O29" s="237"/>
      <c r="P29" s="7" t="s">
        <v>151</v>
      </c>
      <c r="Q29" s="92"/>
      <c r="R29" s="92"/>
      <c r="S29" s="92"/>
      <c r="T29" s="92"/>
      <c r="U29" s="92"/>
      <c r="V29" s="92"/>
    </row>
    <row r="30" spans="1:22">
      <c r="A30" s="5">
        <f t="shared" si="1"/>
        <v>30</v>
      </c>
      <c r="B30" s="185" t="s">
        <v>155</v>
      </c>
      <c r="C30" s="649"/>
      <c r="D30" s="236"/>
      <c r="E30" s="237"/>
      <c r="F30" s="237"/>
      <c r="G30" s="237"/>
      <c r="H30" s="237"/>
      <c r="I30" s="237"/>
      <c r="J30" s="237"/>
      <c r="K30" s="237"/>
      <c r="L30" s="237"/>
      <c r="M30" s="237"/>
      <c r="N30" s="237"/>
      <c r="O30" s="237"/>
      <c r="P30" s="7" t="s">
        <v>152</v>
      </c>
      <c r="Q30" s="92"/>
      <c r="R30" s="92"/>
      <c r="S30" s="92"/>
      <c r="T30" s="92"/>
      <c r="U30" s="92"/>
      <c r="V30" s="92"/>
    </row>
    <row r="31" spans="1:22">
      <c r="A31" s="5">
        <f t="shared" si="1"/>
        <v>31</v>
      </c>
      <c r="B31" s="185" t="s">
        <v>140</v>
      </c>
      <c r="C31" s="649"/>
      <c r="D31" s="236"/>
      <c r="E31" s="237"/>
      <c r="F31" s="237"/>
      <c r="G31" s="237"/>
      <c r="H31" s="237"/>
      <c r="I31" s="237"/>
      <c r="J31" s="237"/>
      <c r="K31" s="237"/>
      <c r="L31" s="237"/>
      <c r="M31" s="237"/>
      <c r="N31" s="237"/>
      <c r="O31" s="237"/>
      <c r="P31" s="7" t="s">
        <v>142</v>
      </c>
      <c r="Q31" s="92"/>
      <c r="R31" s="92"/>
      <c r="S31" s="92"/>
      <c r="T31" s="92"/>
      <c r="U31" s="92"/>
      <c r="V31" s="92"/>
    </row>
    <row r="32" spans="1:22">
      <c r="A32" s="5">
        <f t="shared" si="1"/>
        <v>32</v>
      </c>
      <c r="B32" s="185" t="s">
        <v>214</v>
      </c>
      <c r="C32" s="649"/>
      <c r="D32" s="236"/>
      <c r="E32" s="237"/>
      <c r="F32" s="237"/>
      <c r="G32" s="237"/>
      <c r="H32" s="237"/>
      <c r="I32" s="237"/>
      <c r="J32" s="237"/>
      <c r="K32" s="237"/>
      <c r="L32" s="237"/>
      <c r="M32" s="237"/>
      <c r="N32" s="237"/>
      <c r="O32" s="237"/>
      <c r="P32" s="3" t="s">
        <v>153</v>
      </c>
      <c r="Q32" s="92"/>
      <c r="R32" s="92"/>
      <c r="S32" s="92"/>
      <c r="T32" s="92"/>
      <c r="U32" s="92"/>
      <c r="V32" s="92"/>
    </row>
    <row r="33" spans="1:22">
      <c r="A33" s="5">
        <f t="shared" si="1"/>
        <v>33</v>
      </c>
      <c r="B33" s="185" t="s">
        <v>156</v>
      </c>
      <c r="C33" s="649"/>
      <c r="D33" s="236"/>
      <c r="E33" s="237"/>
      <c r="F33" s="237"/>
      <c r="G33" s="237"/>
      <c r="H33" s="237"/>
      <c r="I33" s="237"/>
      <c r="J33" s="237"/>
      <c r="K33" s="237"/>
      <c r="L33" s="237"/>
      <c r="M33" s="237"/>
      <c r="N33" s="237"/>
      <c r="O33" s="237"/>
      <c r="P33" s="7" t="s">
        <v>85</v>
      </c>
      <c r="Q33" s="92"/>
      <c r="R33" s="92"/>
      <c r="S33" s="92"/>
      <c r="T33" s="92"/>
      <c r="U33" s="92"/>
      <c r="V33" s="92"/>
    </row>
    <row r="34" spans="1:22">
      <c r="A34" s="5">
        <f t="shared" si="1"/>
        <v>34</v>
      </c>
      <c r="B34" s="185" t="s">
        <v>158</v>
      </c>
      <c r="C34" s="649"/>
      <c r="D34" s="236"/>
      <c r="E34" s="237"/>
      <c r="F34" s="237"/>
      <c r="G34" s="237"/>
      <c r="H34" s="237"/>
      <c r="I34" s="237"/>
      <c r="J34" s="237"/>
      <c r="K34" s="237"/>
      <c r="L34" s="237"/>
      <c r="M34" s="237"/>
      <c r="N34" s="237"/>
      <c r="O34" s="237"/>
      <c r="P34" s="7" t="s">
        <v>77</v>
      </c>
      <c r="Q34" s="92"/>
      <c r="R34" s="92"/>
      <c r="S34" s="92"/>
      <c r="T34" s="92"/>
      <c r="U34" s="92"/>
      <c r="V34" s="92"/>
    </row>
    <row r="35" spans="1:22">
      <c r="A35" s="5">
        <f t="shared" si="1"/>
        <v>35</v>
      </c>
      <c r="B35" s="185" t="s">
        <v>157</v>
      </c>
      <c r="C35" s="649"/>
      <c r="D35" s="236"/>
      <c r="E35" s="237"/>
      <c r="F35" s="237"/>
      <c r="G35" s="237"/>
      <c r="H35" s="237"/>
      <c r="I35" s="237"/>
      <c r="J35" s="237"/>
      <c r="K35" s="237"/>
      <c r="L35" s="237"/>
      <c r="M35" s="237"/>
      <c r="N35" s="237"/>
      <c r="O35" s="237"/>
      <c r="P35" s="7" t="s">
        <v>77</v>
      </c>
      <c r="Q35" s="92"/>
      <c r="R35" s="92"/>
      <c r="S35" s="92"/>
      <c r="T35" s="92"/>
      <c r="U35" s="92"/>
      <c r="V35" s="92"/>
    </row>
    <row r="36" spans="1:22">
      <c r="A36" s="5">
        <f t="shared" si="1"/>
        <v>36</v>
      </c>
      <c r="B36" s="185" t="s">
        <v>159</v>
      </c>
      <c r="C36" s="649"/>
      <c r="D36" s="236"/>
      <c r="E36" s="237"/>
      <c r="F36" s="237"/>
      <c r="G36" s="237"/>
      <c r="H36" s="237"/>
      <c r="I36" s="237"/>
      <c r="J36" s="237"/>
      <c r="K36" s="237"/>
      <c r="L36" s="237"/>
      <c r="M36" s="237"/>
      <c r="N36" s="237"/>
      <c r="O36" s="237"/>
      <c r="P36" s="7" t="s">
        <v>147</v>
      </c>
      <c r="Q36" s="92"/>
      <c r="R36" s="92"/>
      <c r="S36" s="92"/>
      <c r="T36" s="92"/>
      <c r="U36" s="92"/>
      <c r="V36" s="92"/>
    </row>
    <row r="37" spans="1:22">
      <c r="A37" s="5">
        <f t="shared" si="1"/>
        <v>37</v>
      </c>
      <c r="B37" s="185" t="s">
        <v>219</v>
      </c>
      <c r="C37" s="649"/>
      <c r="D37" s="238" t="s">
        <v>253</v>
      </c>
      <c r="E37" s="239"/>
      <c r="F37" s="239"/>
      <c r="G37" s="239"/>
      <c r="H37" s="239"/>
      <c r="I37" s="239"/>
      <c r="J37" s="239"/>
      <c r="K37" s="239"/>
      <c r="L37" s="239"/>
      <c r="M37" s="262">
        <f>IF(M21&gt;0,ROUND(1.5%*P88,2),0)</f>
        <v>2653.37</v>
      </c>
      <c r="N37" s="262">
        <f>IF(AND(N21&gt;0,M37=0),ROUND(1.5%*P88,2),0)</f>
        <v>0</v>
      </c>
      <c r="O37" s="262">
        <f>IF(AND(O21&gt;0,SUM(M37:N37)=0),ROUND(1.5%*P88,2),0)</f>
        <v>0</v>
      </c>
      <c r="P37" s="7" t="s">
        <v>262</v>
      </c>
      <c r="Q37" s="92"/>
      <c r="R37" s="92"/>
      <c r="S37" s="92"/>
      <c r="T37" s="92"/>
      <c r="U37" s="92"/>
      <c r="V37" s="92"/>
    </row>
    <row r="38" spans="1:22">
      <c r="A38" s="5">
        <f t="shared" si="1"/>
        <v>38</v>
      </c>
      <c r="B38" s="186" t="s">
        <v>145</v>
      </c>
      <c r="C38" s="649"/>
      <c r="D38" s="236"/>
      <c r="E38" s="237"/>
      <c r="F38" s="237"/>
      <c r="G38" s="237"/>
      <c r="H38" s="237"/>
      <c r="I38" s="237"/>
      <c r="J38" s="237"/>
      <c r="K38" s="237"/>
      <c r="L38" s="237"/>
      <c r="M38" s="237"/>
      <c r="N38" s="237"/>
      <c r="O38" s="237"/>
      <c r="P38" s="89"/>
      <c r="Q38" s="92"/>
      <c r="R38" s="92"/>
      <c r="S38" s="92"/>
      <c r="T38" s="92"/>
      <c r="U38" s="92"/>
      <c r="V38" s="92"/>
    </row>
    <row r="39" spans="1:22">
      <c r="A39" s="5">
        <f t="shared" si="1"/>
        <v>39</v>
      </c>
      <c r="B39" s="186" t="s">
        <v>160</v>
      </c>
      <c r="C39" s="649"/>
      <c r="D39" s="236"/>
      <c r="E39" s="237"/>
      <c r="F39" s="237"/>
      <c r="G39" s="237"/>
      <c r="H39" s="237"/>
      <c r="I39" s="237"/>
      <c r="J39" s="237"/>
      <c r="K39" s="237"/>
      <c r="L39" s="237"/>
      <c r="M39" s="237"/>
      <c r="N39" s="237"/>
      <c r="O39" s="237"/>
      <c r="P39" s="89"/>
      <c r="Q39" s="92"/>
      <c r="R39" s="92"/>
      <c r="S39" s="92"/>
      <c r="T39" s="92"/>
      <c r="U39" s="92"/>
      <c r="V39" s="92"/>
    </row>
    <row r="40" spans="1:22">
      <c r="A40" s="5">
        <f t="shared" si="1"/>
        <v>40</v>
      </c>
      <c r="B40" s="186" t="s">
        <v>143</v>
      </c>
      <c r="C40" s="649"/>
      <c r="D40" s="236"/>
      <c r="E40" s="237"/>
      <c r="F40" s="237"/>
      <c r="G40" s="237"/>
      <c r="H40" s="237"/>
      <c r="I40" s="237"/>
      <c r="J40" s="237"/>
      <c r="K40" s="237"/>
      <c r="L40" s="237"/>
      <c r="M40" s="237"/>
      <c r="N40" s="237"/>
      <c r="O40" s="237"/>
      <c r="P40" s="89"/>
      <c r="Q40" s="92"/>
      <c r="R40" s="92"/>
      <c r="S40" s="92"/>
      <c r="T40" s="92"/>
      <c r="U40" s="92"/>
      <c r="V40" s="92"/>
    </row>
    <row r="41" spans="1:22">
      <c r="A41" s="5">
        <f t="shared" si="1"/>
        <v>41</v>
      </c>
      <c r="B41" s="186" t="s">
        <v>146</v>
      </c>
      <c r="C41" s="649"/>
      <c r="D41" s="236"/>
      <c r="E41" s="237"/>
      <c r="F41" s="237"/>
      <c r="G41" s="237"/>
      <c r="H41" s="237"/>
      <c r="I41" s="237"/>
      <c r="J41" s="237"/>
      <c r="K41" s="237"/>
      <c r="L41" s="237"/>
      <c r="M41" s="237"/>
      <c r="N41" s="237"/>
      <c r="O41" s="237"/>
      <c r="P41" s="89"/>
      <c r="Q41" s="92"/>
      <c r="R41" s="92"/>
      <c r="S41" s="92"/>
      <c r="T41" s="92"/>
      <c r="U41" s="92"/>
      <c r="V41" s="92"/>
    </row>
    <row r="42" spans="1:22">
      <c r="A42" s="5">
        <f t="shared" si="1"/>
        <v>42</v>
      </c>
      <c r="B42" s="187" t="s">
        <v>141</v>
      </c>
      <c r="C42" s="650"/>
      <c r="D42" s="240"/>
      <c r="E42" s="241"/>
      <c r="F42" s="241"/>
      <c r="G42" s="241"/>
      <c r="H42" s="241"/>
      <c r="I42" s="241"/>
      <c r="J42" s="241"/>
      <c r="K42" s="241"/>
      <c r="L42" s="241"/>
      <c r="M42" s="241"/>
      <c r="N42" s="241"/>
      <c r="O42" s="241"/>
      <c r="P42" s="149"/>
      <c r="Q42" s="92"/>
      <c r="R42" s="92"/>
      <c r="S42" s="92"/>
      <c r="T42" s="92"/>
      <c r="U42" s="92"/>
      <c r="V42" s="92"/>
    </row>
    <row r="43" spans="1:22" ht="32" customHeight="1">
      <c r="A43" s="128">
        <f t="shared" si="1"/>
        <v>43</v>
      </c>
      <c r="B43" s="188" t="s">
        <v>227</v>
      </c>
      <c r="C43" s="78" t="str">
        <f>C2</f>
        <v>jan-jul</v>
      </c>
      <c r="D43" s="214" t="str">
        <f>D2</f>
        <v>AUG 10</v>
      </c>
      <c r="E43" s="78" t="str">
        <f t="shared" ref="E43:O43" si="10">E2</f>
        <v>SEP10</v>
      </c>
      <c r="F43" s="78" t="str">
        <f t="shared" si="10"/>
        <v>OKT 10</v>
      </c>
      <c r="G43" s="78" t="str">
        <f t="shared" si="10"/>
        <v>NOV 10</v>
      </c>
      <c r="H43" s="78" t="str">
        <f t="shared" si="10"/>
        <v>DEC 10</v>
      </c>
      <c r="I43" s="78" t="str">
        <f t="shared" si="10"/>
        <v>JAN 11</v>
      </c>
      <c r="J43" s="78" t="str">
        <f t="shared" si="10"/>
        <v>FEB 11</v>
      </c>
      <c r="K43" s="78" t="str">
        <f t="shared" si="10"/>
        <v>MAR 11</v>
      </c>
      <c r="L43" s="78" t="str">
        <f t="shared" si="10"/>
        <v>APR 11</v>
      </c>
      <c r="M43" s="78" t="str">
        <f t="shared" si="10"/>
        <v>MAJ11</v>
      </c>
      <c r="N43" s="78" t="str">
        <f t="shared" si="10"/>
        <v>JUN 11</v>
      </c>
      <c r="O43" s="78" t="str">
        <f t="shared" si="10"/>
        <v>JUL 11</v>
      </c>
      <c r="P43" s="83" t="s">
        <v>122</v>
      </c>
      <c r="Q43" s="92"/>
      <c r="R43" s="92"/>
      <c r="S43" s="92"/>
      <c r="T43" s="92"/>
      <c r="U43" s="92"/>
      <c r="V43" s="92"/>
    </row>
    <row r="44" spans="1:22">
      <c r="A44" s="128">
        <f t="shared" si="1"/>
        <v>44</v>
      </c>
      <c r="B44" s="162" t="s">
        <v>94</v>
      </c>
      <c r="C44" s="228"/>
      <c r="D44" s="215">
        <f t="shared" ref="D44:O44" si="11">ROUND(IF(D9&gt;0,ROUND((ROUND(VLOOKUP(D4,basistabel,2,0)*D7,0))/12,2),0)*D9*D3,2)</f>
        <v>14693.44</v>
      </c>
      <c r="E44" s="108">
        <f t="shared" si="11"/>
        <v>14693.44</v>
      </c>
      <c r="F44" s="108">
        <f t="shared" si="11"/>
        <v>14693.44</v>
      </c>
      <c r="G44" s="108">
        <f t="shared" si="11"/>
        <v>14693.44</v>
      </c>
      <c r="H44" s="108">
        <f t="shared" si="11"/>
        <v>14693.44</v>
      </c>
      <c r="I44" s="108">
        <f t="shared" si="11"/>
        <v>14693.44</v>
      </c>
      <c r="J44" s="108">
        <f t="shared" si="11"/>
        <v>14693.44</v>
      </c>
      <c r="K44" s="108">
        <f t="shared" si="11"/>
        <v>14693.44</v>
      </c>
      <c r="L44" s="108">
        <f t="shared" si="11"/>
        <v>14693.44</v>
      </c>
      <c r="M44" s="108">
        <f t="shared" si="11"/>
        <v>14693.44</v>
      </c>
      <c r="N44" s="108">
        <f t="shared" si="11"/>
        <v>14693.44</v>
      </c>
      <c r="O44" s="108">
        <f t="shared" si="11"/>
        <v>14693.44</v>
      </c>
      <c r="P44" s="122">
        <f t="shared" ref="P44:P81" si="12">SUM(D44:O44)</f>
        <v>176321.28</v>
      </c>
      <c r="Q44" s="92"/>
      <c r="R44" s="92"/>
      <c r="S44" s="92"/>
      <c r="T44" s="92"/>
      <c r="U44" s="92"/>
      <c r="V44" s="92"/>
    </row>
    <row r="45" spans="1:22">
      <c r="A45" s="23">
        <f>A44+1</f>
        <v>45</v>
      </c>
      <c r="B45" s="163" t="s">
        <v>95</v>
      </c>
      <c r="C45" s="228"/>
      <c r="D45" s="216">
        <f t="shared" ref="D45:O45" si="13">ROUND(IF(D9&gt;0,ROUND((VLOOKUP(D4,omraadetabel,D8,0))/12,2),0)*D9*D3,2)</f>
        <v>248.03</v>
      </c>
      <c r="E45" s="110">
        <f t="shared" si="13"/>
        <v>248.03</v>
      </c>
      <c r="F45" s="110">
        <f t="shared" si="13"/>
        <v>248.03</v>
      </c>
      <c r="G45" s="110">
        <f t="shared" si="13"/>
        <v>248.03</v>
      </c>
      <c r="H45" s="110">
        <f t="shared" si="13"/>
        <v>248.03</v>
      </c>
      <c r="I45" s="110">
        <f t="shared" si="13"/>
        <v>248.03</v>
      </c>
      <c r="J45" s="110">
        <f t="shared" si="13"/>
        <v>248.03</v>
      </c>
      <c r="K45" s="110">
        <f t="shared" si="13"/>
        <v>248.03</v>
      </c>
      <c r="L45" s="110">
        <f t="shared" si="13"/>
        <v>248.03</v>
      </c>
      <c r="M45" s="110">
        <f t="shared" si="13"/>
        <v>248.03</v>
      </c>
      <c r="N45" s="110">
        <f t="shared" si="13"/>
        <v>248.03</v>
      </c>
      <c r="O45" s="110">
        <f t="shared" si="13"/>
        <v>248.03</v>
      </c>
      <c r="P45" s="111">
        <f t="shared" si="12"/>
        <v>2976.3600000000006</v>
      </c>
      <c r="Q45" s="92"/>
      <c r="R45" s="92"/>
      <c r="S45" s="92"/>
      <c r="T45" s="92"/>
      <c r="U45" s="92"/>
      <c r="V45" s="92"/>
    </row>
    <row r="46" spans="1:22">
      <c r="A46" s="23">
        <f t="shared" ref="A46:A81" si="14">A45+1</f>
        <v>46</v>
      </c>
      <c r="B46" s="163" t="s">
        <v>183</v>
      </c>
      <c r="C46" s="228"/>
      <c r="D46" s="216">
        <f t="shared" ref="D46:O46" si="15">ROUND(SUM(D102:D105)*D3,2)</f>
        <v>1120.5</v>
      </c>
      <c r="E46" s="110">
        <f t="shared" si="15"/>
        <v>1120.5</v>
      </c>
      <c r="F46" s="110">
        <f t="shared" si="15"/>
        <v>1120.5</v>
      </c>
      <c r="G46" s="110">
        <f t="shared" si="15"/>
        <v>1120.5</v>
      </c>
      <c r="H46" s="110">
        <f t="shared" si="15"/>
        <v>1120.5</v>
      </c>
      <c r="I46" s="110">
        <f t="shared" si="15"/>
        <v>1120.5</v>
      </c>
      <c r="J46" s="110">
        <f t="shared" si="15"/>
        <v>1120.5</v>
      </c>
      <c r="K46" s="110">
        <f t="shared" si="15"/>
        <v>1120.5</v>
      </c>
      <c r="L46" s="110">
        <f t="shared" si="15"/>
        <v>1120.5</v>
      </c>
      <c r="M46" s="110">
        <f t="shared" si="15"/>
        <v>1120.5</v>
      </c>
      <c r="N46" s="110">
        <f t="shared" si="15"/>
        <v>1120.5</v>
      </c>
      <c r="O46" s="110">
        <f t="shared" si="15"/>
        <v>1120.5</v>
      </c>
      <c r="P46" s="111">
        <f t="shared" si="12"/>
        <v>13446</v>
      </c>
      <c r="Q46" s="92"/>
      <c r="R46" s="92"/>
      <c r="S46" s="92"/>
      <c r="T46" s="92"/>
      <c r="U46" s="92"/>
      <c r="V46" s="92"/>
    </row>
    <row r="47" spans="1:22">
      <c r="A47" s="23">
        <f t="shared" si="14"/>
        <v>47</v>
      </c>
      <c r="B47" s="163" t="s">
        <v>184</v>
      </c>
      <c r="C47" s="228"/>
      <c r="D47" s="216">
        <f t="shared" ref="D47:O47" si="16">ROUND(D11*D$7*D3/12,2)</f>
        <v>0</v>
      </c>
      <c r="E47" s="110">
        <f t="shared" si="16"/>
        <v>0</v>
      </c>
      <c r="F47" s="110">
        <f t="shared" si="16"/>
        <v>0</v>
      </c>
      <c r="G47" s="110">
        <f t="shared" si="16"/>
        <v>0</v>
      </c>
      <c r="H47" s="110">
        <f t="shared" si="16"/>
        <v>0</v>
      </c>
      <c r="I47" s="110">
        <f t="shared" si="16"/>
        <v>0</v>
      </c>
      <c r="J47" s="110">
        <f t="shared" si="16"/>
        <v>0</v>
      </c>
      <c r="K47" s="110">
        <f t="shared" si="16"/>
        <v>0</v>
      </c>
      <c r="L47" s="110">
        <f t="shared" si="16"/>
        <v>0</v>
      </c>
      <c r="M47" s="110">
        <f t="shared" si="16"/>
        <v>0</v>
      </c>
      <c r="N47" s="110">
        <f t="shared" si="16"/>
        <v>0</v>
      </c>
      <c r="O47" s="110">
        <f t="shared" si="16"/>
        <v>0</v>
      </c>
      <c r="P47" s="111">
        <f t="shared" si="12"/>
        <v>0</v>
      </c>
      <c r="Q47" s="92"/>
      <c r="R47" s="92"/>
      <c r="S47" s="92"/>
      <c r="T47" s="92"/>
      <c r="U47" s="92"/>
      <c r="V47" s="92"/>
    </row>
    <row r="48" spans="1:22">
      <c r="A48" s="23">
        <f t="shared" si="14"/>
        <v>48</v>
      </c>
      <c r="B48" s="163" t="s">
        <v>185</v>
      </c>
      <c r="C48" s="228"/>
      <c r="D48" s="216">
        <f t="shared" ref="D48:O48" si="17">ROUND(D12*D$7*D3/12,2)</f>
        <v>0</v>
      </c>
      <c r="E48" s="110">
        <f t="shared" si="17"/>
        <v>0</v>
      </c>
      <c r="F48" s="110">
        <f t="shared" si="17"/>
        <v>0</v>
      </c>
      <c r="G48" s="110">
        <f t="shared" si="17"/>
        <v>0</v>
      </c>
      <c r="H48" s="110">
        <f t="shared" si="17"/>
        <v>0</v>
      </c>
      <c r="I48" s="110">
        <f t="shared" si="17"/>
        <v>0</v>
      </c>
      <c r="J48" s="110">
        <f t="shared" si="17"/>
        <v>0</v>
      </c>
      <c r="K48" s="110">
        <f t="shared" si="17"/>
        <v>0</v>
      </c>
      <c r="L48" s="110">
        <f t="shared" si="17"/>
        <v>0</v>
      </c>
      <c r="M48" s="110">
        <f t="shared" si="17"/>
        <v>0</v>
      </c>
      <c r="N48" s="110">
        <f t="shared" si="17"/>
        <v>0</v>
      </c>
      <c r="O48" s="110">
        <f t="shared" si="17"/>
        <v>0</v>
      </c>
      <c r="P48" s="111">
        <f t="shared" si="12"/>
        <v>0</v>
      </c>
      <c r="Q48" s="92"/>
      <c r="R48" s="92"/>
      <c r="S48" s="92"/>
      <c r="T48" s="92"/>
      <c r="U48" s="92"/>
      <c r="V48" s="92"/>
    </row>
    <row r="49" spans="1:22">
      <c r="A49" s="23">
        <f t="shared" si="14"/>
        <v>49</v>
      </c>
      <c r="B49" s="163" t="s">
        <v>186</v>
      </c>
      <c r="C49" s="228"/>
      <c r="D49" s="216">
        <f t="shared" ref="D49:O49" si="18">ROUND(D13*D$7/12*D3,2)</f>
        <v>0</v>
      </c>
      <c r="E49" s="110">
        <f t="shared" si="18"/>
        <v>0</v>
      </c>
      <c r="F49" s="110">
        <f t="shared" si="18"/>
        <v>0</v>
      </c>
      <c r="G49" s="110">
        <f t="shared" si="18"/>
        <v>0</v>
      </c>
      <c r="H49" s="110">
        <f t="shared" si="18"/>
        <v>0</v>
      </c>
      <c r="I49" s="110">
        <f t="shared" si="18"/>
        <v>0</v>
      </c>
      <c r="J49" s="110">
        <f t="shared" si="18"/>
        <v>0</v>
      </c>
      <c r="K49" s="110">
        <f t="shared" si="18"/>
        <v>0</v>
      </c>
      <c r="L49" s="110">
        <f t="shared" si="18"/>
        <v>0</v>
      </c>
      <c r="M49" s="110">
        <f t="shared" si="18"/>
        <v>0</v>
      </c>
      <c r="N49" s="110">
        <f t="shared" si="18"/>
        <v>0</v>
      </c>
      <c r="O49" s="110">
        <f t="shared" si="18"/>
        <v>0</v>
      </c>
      <c r="P49" s="111">
        <f t="shared" si="12"/>
        <v>0</v>
      </c>
      <c r="Q49" s="92"/>
      <c r="R49" s="92"/>
      <c r="S49" s="92"/>
      <c r="T49" s="92"/>
      <c r="U49" s="92"/>
      <c r="V49" s="92"/>
    </row>
    <row r="50" spans="1:22">
      <c r="A50" s="23">
        <f t="shared" si="14"/>
        <v>50</v>
      </c>
      <c r="B50" s="163" t="s">
        <v>187</v>
      </c>
      <c r="C50" s="228"/>
      <c r="D50" s="216">
        <f t="shared" ref="D50:O50" si="19">ROUND(D14*D$7/12*D3,2)</f>
        <v>0</v>
      </c>
      <c r="E50" s="110">
        <f t="shared" si="19"/>
        <v>0</v>
      </c>
      <c r="F50" s="110">
        <f t="shared" si="19"/>
        <v>0</v>
      </c>
      <c r="G50" s="110">
        <f t="shared" si="19"/>
        <v>0</v>
      </c>
      <c r="H50" s="110">
        <f t="shared" si="19"/>
        <v>0</v>
      </c>
      <c r="I50" s="110">
        <f t="shared" si="19"/>
        <v>0</v>
      </c>
      <c r="J50" s="110">
        <f t="shared" si="19"/>
        <v>0</v>
      </c>
      <c r="K50" s="110">
        <f t="shared" si="19"/>
        <v>0</v>
      </c>
      <c r="L50" s="110">
        <f t="shared" si="19"/>
        <v>0</v>
      </c>
      <c r="M50" s="110">
        <f t="shared" si="19"/>
        <v>0</v>
      </c>
      <c r="N50" s="110">
        <f t="shared" si="19"/>
        <v>0</v>
      </c>
      <c r="O50" s="110">
        <f t="shared" si="19"/>
        <v>0</v>
      </c>
      <c r="P50" s="111">
        <f t="shared" si="12"/>
        <v>0</v>
      </c>
      <c r="Q50" s="92"/>
      <c r="R50" s="92"/>
      <c r="S50" s="92"/>
      <c r="T50" s="92"/>
      <c r="U50" s="92"/>
      <c r="V50" s="92"/>
    </row>
    <row r="51" spans="1:22">
      <c r="A51" s="23">
        <f t="shared" si="14"/>
        <v>51</v>
      </c>
      <c r="B51" s="163" t="s">
        <v>188</v>
      </c>
      <c r="C51" s="228"/>
      <c r="D51" s="216">
        <f t="shared" ref="D51:O51" si="20">ROUND(D15*D$7/12*D3,2)</f>
        <v>0</v>
      </c>
      <c r="E51" s="110">
        <f t="shared" si="20"/>
        <v>0</v>
      </c>
      <c r="F51" s="110">
        <f t="shared" si="20"/>
        <v>0</v>
      </c>
      <c r="G51" s="110">
        <f t="shared" si="20"/>
        <v>0</v>
      </c>
      <c r="H51" s="110">
        <f t="shared" si="20"/>
        <v>0</v>
      </c>
      <c r="I51" s="110">
        <f t="shared" si="20"/>
        <v>0</v>
      </c>
      <c r="J51" s="110">
        <f t="shared" si="20"/>
        <v>0</v>
      </c>
      <c r="K51" s="110">
        <f t="shared" si="20"/>
        <v>0</v>
      </c>
      <c r="L51" s="110">
        <f t="shared" si="20"/>
        <v>0</v>
      </c>
      <c r="M51" s="110">
        <f t="shared" si="20"/>
        <v>0</v>
      </c>
      <c r="N51" s="110">
        <f t="shared" si="20"/>
        <v>0</v>
      </c>
      <c r="O51" s="110">
        <f t="shared" si="20"/>
        <v>0</v>
      </c>
      <c r="P51" s="111">
        <f t="shared" si="12"/>
        <v>0</v>
      </c>
      <c r="Q51" s="92"/>
      <c r="R51" s="92"/>
      <c r="S51" s="92"/>
      <c r="T51" s="92"/>
      <c r="U51" s="92"/>
      <c r="V51" s="92"/>
    </row>
    <row r="52" spans="1:22">
      <c r="A52" s="23">
        <f t="shared" si="14"/>
        <v>52</v>
      </c>
      <c r="B52" s="163" t="s">
        <v>189</v>
      </c>
      <c r="C52" s="228"/>
      <c r="D52" s="216">
        <f t="shared" ref="D52:O52" si="21">ROUND(D16*D$7*D$9/12*D3,2)</f>
        <v>866.87</v>
      </c>
      <c r="E52" s="110">
        <f t="shared" si="21"/>
        <v>866.87</v>
      </c>
      <c r="F52" s="110">
        <f t="shared" si="21"/>
        <v>866.87</v>
      </c>
      <c r="G52" s="110">
        <f t="shared" si="21"/>
        <v>866.87</v>
      </c>
      <c r="H52" s="110">
        <f t="shared" si="21"/>
        <v>866.87</v>
      </c>
      <c r="I52" s="110">
        <f t="shared" si="21"/>
        <v>866.87</v>
      </c>
      <c r="J52" s="110">
        <f t="shared" si="21"/>
        <v>866.87</v>
      </c>
      <c r="K52" s="110">
        <f t="shared" si="21"/>
        <v>866.87</v>
      </c>
      <c r="L52" s="110">
        <f t="shared" si="21"/>
        <v>866.87</v>
      </c>
      <c r="M52" s="110">
        <f t="shared" si="21"/>
        <v>866.87</v>
      </c>
      <c r="N52" s="110">
        <f t="shared" si="21"/>
        <v>866.87</v>
      </c>
      <c r="O52" s="110">
        <f t="shared" si="21"/>
        <v>866.87</v>
      </c>
      <c r="P52" s="111">
        <f t="shared" si="12"/>
        <v>10402.440000000002</v>
      </c>
      <c r="Q52" s="92"/>
      <c r="R52" s="92"/>
      <c r="S52" s="92"/>
      <c r="T52" s="92"/>
      <c r="U52" s="92"/>
      <c r="V52" s="92"/>
    </row>
    <row r="53" spans="1:22">
      <c r="A53" s="23">
        <f t="shared" si="14"/>
        <v>53</v>
      </c>
      <c r="B53" s="163" t="s">
        <v>190</v>
      </c>
      <c r="C53" s="228"/>
      <c r="D53" s="216">
        <f t="shared" ref="D53:O53" si="22">ROUND(D17*D$7*D$9/12*D3,2)</f>
        <v>0</v>
      </c>
      <c r="E53" s="110">
        <f t="shared" si="22"/>
        <v>0</v>
      </c>
      <c r="F53" s="110">
        <f t="shared" si="22"/>
        <v>0</v>
      </c>
      <c r="G53" s="110">
        <f t="shared" si="22"/>
        <v>0</v>
      </c>
      <c r="H53" s="110">
        <f t="shared" si="22"/>
        <v>0</v>
      </c>
      <c r="I53" s="110">
        <f t="shared" si="22"/>
        <v>0</v>
      </c>
      <c r="J53" s="110">
        <f t="shared" si="22"/>
        <v>0</v>
      </c>
      <c r="K53" s="110">
        <f t="shared" si="22"/>
        <v>0</v>
      </c>
      <c r="L53" s="110">
        <f t="shared" si="22"/>
        <v>0</v>
      </c>
      <c r="M53" s="110">
        <f t="shared" si="22"/>
        <v>0</v>
      </c>
      <c r="N53" s="110">
        <f t="shared" si="22"/>
        <v>0</v>
      </c>
      <c r="O53" s="110">
        <f t="shared" si="22"/>
        <v>0</v>
      </c>
      <c r="P53" s="111">
        <f t="shared" si="12"/>
        <v>0</v>
      </c>
      <c r="Q53" s="92"/>
      <c r="R53" s="92"/>
      <c r="S53" s="92"/>
      <c r="T53" s="92"/>
      <c r="U53" s="92"/>
      <c r="V53" s="92"/>
    </row>
    <row r="54" spans="1:22">
      <c r="A54" s="23">
        <f t="shared" si="14"/>
        <v>54</v>
      </c>
      <c r="B54" s="163" t="s">
        <v>125</v>
      </c>
      <c r="C54" s="228"/>
      <c r="D54" s="216">
        <f t="shared" ref="D54:O54" si="23">ROUND(D18*D$7*D$9/12*D3,2)</f>
        <v>0</v>
      </c>
      <c r="E54" s="110">
        <f t="shared" si="23"/>
        <v>0</v>
      </c>
      <c r="F54" s="110">
        <f t="shared" si="23"/>
        <v>0</v>
      </c>
      <c r="G54" s="110">
        <f t="shared" si="23"/>
        <v>0</v>
      </c>
      <c r="H54" s="110">
        <f t="shared" si="23"/>
        <v>0</v>
      </c>
      <c r="I54" s="110">
        <f t="shared" si="23"/>
        <v>0</v>
      </c>
      <c r="J54" s="110">
        <f t="shared" si="23"/>
        <v>0</v>
      </c>
      <c r="K54" s="110">
        <f t="shared" si="23"/>
        <v>0</v>
      </c>
      <c r="L54" s="110">
        <f t="shared" si="23"/>
        <v>0</v>
      </c>
      <c r="M54" s="110">
        <f t="shared" si="23"/>
        <v>0</v>
      </c>
      <c r="N54" s="110">
        <f t="shared" si="23"/>
        <v>0</v>
      </c>
      <c r="O54" s="110">
        <f t="shared" si="23"/>
        <v>0</v>
      </c>
      <c r="P54" s="111">
        <f t="shared" si="12"/>
        <v>0</v>
      </c>
      <c r="Q54" s="92"/>
      <c r="R54" s="92"/>
      <c r="S54" s="92"/>
      <c r="T54" s="92"/>
      <c r="U54" s="92"/>
      <c r="V54" s="92"/>
    </row>
    <row r="55" spans="1:22">
      <c r="A55" s="23">
        <f t="shared" si="14"/>
        <v>55</v>
      </c>
      <c r="B55" s="163" t="s">
        <v>116</v>
      </c>
      <c r="C55" s="228"/>
      <c r="D55" s="216">
        <f t="shared" ref="D55:O55" si="24">ROUND(IF(OR(D$5="A",D$5="B"),MAX(235800+32300*(LEFT(D$4)="L")-VLOOKUP(D4,basistabel,2,0)-SUM(D$15:D$18),0),0)/12*D$7*D$9*D3,2)</f>
        <v>0</v>
      </c>
      <c r="E55" s="110">
        <f t="shared" si="24"/>
        <v>0</v>
      </c>
      <c r="F55" s="110">
        <f t="shared" si="24"/>
        <v>0</v>
      </c>
      <c r="G55" s="110">
        <f t="shared" si="24"/>
        <v>0</v>
      </c>
      <c r="H55" s="110">
        <f t="shared" si="24"/>
        <v>0</v>
      </c>
      <c r="I55" s="110">
        <f t="shared" si="24"/>
        <v>0</v>
      </c>
      <c r="J55" s="110">
        <f t="shared" si="24"/>
        <v>0</v>
      </c>
      <c r="K55" s="110">
        <f t="shared" si="24"/>
        <v>0</v>
      </c>
      <c r="L55" s="110">
        <f t="shared" si="24"/>
        <v>0</v>
      </c>
      <c r="M55" s="110">
        <f t="shared" si="24"/>
        <v>0</v>
      </c>
      <c r="N55" s="110">
        <f t="shared" si="24"/>
        <v>0</v>
      </c>
      <c r="O55" s="110">
        <f t="shared" si="24"/>
        <v>0</v>
      </c>
      <c r="P55" s="111">
        <f t="shared" si="12"/>
        <v>0</v>
      </c>
      <c r="Q55" s="92"/>
      <c r="R55" s="92"/>
      <c r="S55" s="92"/>
      <c r="T55" s="92"/>
      <c r="U55" s="92"/>
      <c r="V55" s="92"/>
    </row>
    <row r="56" spans="1:22">
      <c r="A56" s="23">
        <f t="shared" si="14"/>
        <v>56</v>
      </c>
      <c r="B56" s="163" t="s">
        <v>109</v>
      </c>
      <c r="C56" s="228"/>
      <c r="D56" s="216">
        <f t="shared" ref="D56:O56" si="25">MAX(ROUND((IF(RIGHT(D4)="1",4000)+IF(OR(RIGHT(D4)="2",RIGHT(D4)="3"),6000))*D7/12*D9*D3,2)-D55,0)*(D5&lt;&gt;"B")</f>
        <v>288.95999999999998</v>
      </c>
      <c r="E56" s="110">
        <f t="shared" si="25"/>
        <v>288.95999999999998</v>
      </c>
      <c r="F56" s="110">
        <f t="shared" si="25"/>
        <v>288.95999999999998</v>
      </c>
      <c r="G56" s="110">
        <f t="shared" si="25"/>
        <v>288.95999999999998</v>
      </c>
      <c r="H56" s="110">
        <f t="shared" si="25"/>
        <v>288.95999999999998</v>
      </c>
      <c r="I56" s="110">
        <f t="shared" si="25"/>
        <v>288.95999999999998</v>
      </c>
      <c r="J56" s="110">
        <f t="shared" si="25"/>
        <v>288.95999999999998</v>
      </c>
      <c r="K56" s="110">
        <f t="shared" si="25"/>
        <v>288.95999999999998</v>
      </c>
      <c r="L56" s="110">
        <f t="shared" si="25"/>
        <v>288.95999999999998</v>
      </c>
      <c r="M56" s="110">
        <f t="shared" si="25"/>
        <v>288.95999999999998</v>
      </c>
      <c r="N56" s="110">
        <f t="shared" si="25"/>
        <v>288.95999999999998</v>
      </c>
      <c r="O56" s="110">
        <f t="shared" si="25"/>
        <v>288.95999999999998</v>
      </c>
      <c r="P56" s="111">
        <f t="shared" si="12"/>
        <v>3467.52</v>
      </c>
      <c r="Q56" s="92"/>
      <c r="R56" s="92"/>
      <c r="S56" s="92"/>
      <c r="T56" s="92"/>
      <c r="U56" s="92"/>
      <c r="V56" s="92"/>
    </row>
    <row r="57" spans="1:22">
      <c r="A57" s="23">
        <f t="shared" si="14"/>
        <v>57</v>
      </c>
      <c r="B57" s="163" t="s">
        <v>110</v>
      </c>
      <c r="C57" s="228"/>
      <c r="D57" s="216">
        <f>MAX(ROUND((IF(RIGHT(D4)="1",4000)+IF(OR(RIGHT(D4)="2",RIGHT(D4)="3"),6000))*D7/12*D9*D3,2)-D55,0)*(D5="B")</f>
        <v>0</v>
      </c>
      <c r="E57" s="216">
        <f t="shared" ref="E57:O57" si="26">MAX(ROUND((IF(RIGHT(E4)="1",4000)+IF(OR(RIGHT(E4)="2",RIGHT(E4)="3"),6000))*E7/12*E9*E3,2)-E55,0)*(E5="B")</f>
        <v>0</v>
      </c>
      <c r="F57" s="216">
        <f t="shared" si="26"/>
        <v>0</v>
      </c>
      <c r="G57" s="216">
        <f t="shared" si="26"/>
        <v>0</v>
      </c>
      <c r="H57" s="216">
        <f t="shared" si="26"/>
        <v>0</v>
      </c>
      <c r="I57" s="216">
        <f t="shared" si="26"/>
        <v>0</v>
      </c>
      <c r="J57" s="216">
        <f t="shared" si="26"/>
        <v>0</v>
      </c>
      <c r="K57" s="216">
        <f t="shared" si="26"/>
        <v>0</v>
      </c>
      <c r="L57" s="216">
        <f t="shared" si="26"/>
        <v>0</v>
      </c>
      <c r="M57" s="216">
        <f t="shared" si="26"/>
        <v>0</v>
      </c>
      <c r="N57" s="216">
        <f t="shared" si="26"/>
        <v>0</v>
      </c>
      <c r="O57" s="216">
        <f t="shared" si="26"/>
        <v>0</v>
      </c>
      <c r="P57" s="111">
        <f t="shared" si="12"/>
        <v>0</v>
      </c>
      <c r="Q57" s="92"/>
      <c r="R57" s="92"/>
      <c r="S57" s="92"/>
      <c r="T57" s="92"/>
      <c r="U57" s="92"/>
      <c r="V57" s="92"/>
    </row>
    <row r="58" spans="1:22">
      <c r="A58" s="23">
        <f t="shared" si="14"/>
        <v>58</v>
      </c>
      <c r="B58" s="163" t="s">
        <v>191</v>
      </c>
      <c r="C58" s="228"/>
      <c r="D58" s="216">
        <f t="shared" ref="D58:O58" si="27">IF(D44&gt;0,ROUND(IF(D$9&gt;=0.5,540*D$7,270*D$7)/12*D3,2),0)</f>
        <v>58.98</v>
      </c>
      <c r="E58" s="110">
        <f t="shared" si="27"/>
        <v>58.98</v>
      </c>
      <c r="F58" s="110">
        <f t="shared" si="27"/>
        <v>58.98</v>
      </c>
      <c r="G58" s="110">
        <f t="shared" si="27"/>
        <v>58.98</v>
      </c>
      <c r="H58" s="110">
        <f t="shared" si="27"/>
        <v>58.98</v>
      </c>
      <c r="I58" s="110">
        <f t="shared" si="27"/>
        <v>58.98</v>
      </c>
      <c r="J58" s="110">
        <f t="shared" si="27"/>
        <v>58.98</v>
      </c>
      <c r="K58" s="110">
        <f t="shared" si="27"/>
        <v>58.98</v>
      </c>
      <c r="L58" s="110">
        <f t="shared" si="27"/>
        <v>58.98</v>
      </c>
      <c r="M58" s="110">
        <f t="shared" si="27"/>
        <v>58.98</v>
      </c>
      <c r="N58" s="110">
        <f t="shared" si="27"/>
        <v>58.98</v>
      </c>
      <c r="O58" s="110">
        <f t="shared" si="27"/>
        <v>58.98</v>
      </c>
      <c r="P58" s="111">
        <f t="shared" si="12"/>
        <v>707.7600000000001</v>
      </c>
      <c r="Q58" s="92"/>
      <c r="R58" s="92"/>
      <c r="S58" s="92"/>
      <c r="T58" s="92"/>
      <c r="U58" s="92"/>
      <c r="V58" s="92"/>
    </row>
    <row r="59" spans="1:22">
      <c r="A59" s="23">
        <f t="shared" si="14"/>
        <v>59</v>
      </c>
      <c r="B59" s="163" t="s">
        <v>171</v>
      </c>
      <c r="C59" s="228"/>
      <c r="D59" s="216">
        <f t="shared" ref="D59:O59" si="28">D20*D3</f>
        <v>0</v>
      </c>
      <c r="E59" s="110">
        <f t="shared" si="28"/>
        <v>0</v>
      </c>
      <c r="F59" s="110">
        <f t="shared" si="28"/>
        <v>0</v>
      </c>
      <c r="G59" s="110">
        <f t="shared" si="28"/>
        <v>0</v>
      </c>
      <c r="H59" s="110">
        <f t="shared" si="28"/>
        <v>0</v>
      </c>
      <c r="I59" s="110">
        <f t="shared" si="28"/>
        <v>0</v>
      </c>
      <c r="J59" s="110">
        <f t="shared" si="28"/>
        <v>0</v>
      </c>
      <c r="K59" s="110">
        <f t="shared" si="28"/>
        <v>0</v>
      </c>
      <c r="L59" s="110">
        <f t="shared" si="28"/>
        <v>0</v>
      </c>
      <c r="M59" s="110">
        <f t="shared" si="28"/>
        <v>0</v>
      </c>
      <c r="N59" s="110">
        <f t="shared" si="28"/>
        <v>0</v>
      </c>
      <c r="O59" s="110">
        <f t="shared" si="28"/>
        <v>0</v>
      </c>
      <c r="P59" s="111">
        <f t="shared" si="12"/>
        <v>0</v>
      </c>
      <c r="Q59" s="92"/>
      <c r="R59" s="92"/>
      <c r="S59" s="92"/>
      <c r="T59" s="92"/>
      <c r="U59" s="92"/>
      <c r="V59" s="92"/>
    </row>
    <row r="60" spans="1:22">
      <c r="A60" s="23">
        <f t="shared" si="14"/>
        <v>60</v>
      </c>
      <c r="B60" s="163" t="s">
        <v>172</v>
      </c>
      <c r="C60" s="228"/>
      <c r="D60" s="216">
        <f t="shared" ref="D60:O60" si="29">IF(D9&gt;=0.4054,108.35*D3,0)</f>
        <v>108.35</v>
      </c>
      <c r="E60" s="110">
        <f t="shared" si="29"/>
        <v>108.35</v>
      </c>
      <c r="F60" s="110">
        <f t="shared" si="29"/>
        <v>108.35</v>
      </c>
      <c r="G60" s="110">
        <f t="shared" si="29"/>
        <v>108.35</v>
      </c>
      <c r="H60" s="110">
        <f t="shared" si="29"/>
        <v>108.35</v>
      </c>
      <c r="I60" s="110">
        <f t="shared" si="29"/>
        <v>108.35</v>
      </c>
      <c r="J60" s="110">
        <f t="shared" si="29"/>
        <v>108.35</v>
      </c>
      <c r="K60" s="110">
        <f t="shared" si="29"/>
        <v>108.35</v>
      </c>
      <c r="L60" s="110">
        <f t="shared" si="29"/>
        <v>108.35</v>
      </c>
      <c r="M60" s="110">
        <f t="shared" si="29"/>
        <v>108.35</v>
      </c>
      <c r="N60" s="110">
        <f t="shared" si="29"/>
        <v>108.35</v>
      </c>
      <c r="O60" s="110">
        <f t="shared" si="29"/>
        <v>108.35</v>
      </c>
      <c r="P60" s="111">
        <f t="shared" si="12"/>
        <v>1300.1999999999998</v>
      </c>
      <c r="Q60" s="92"/>
      <c r="R60" s="92"/>
      <c r="S60" s="92"/>
      <c r="T60" s="92"/>
      <c r="U60" s="92"/>
      <c r="V60" s="92"/>
    </row>
    <row r="61" spans="1:22">
      <c r="A61" s="23">
        <f t="shared" si="14"/>
        <v>61</v>
      </c>
      <c r="B61" s="163" t="s">
        <v>266</v>
      </c>
      <c r="C61" s="228"/>
      <c r="D61" s="216">
        <f t="shared" ref="D61:O61" si="30">-(MAX(0,MIN(D21,D22))+D25)*4.62%*SUM(D44:D60)</f>
        <v>-4015.9650299999989</v>
      </c>
      <c r="E61" s="216">
        <f t="shared" si="30"/>
        <v>0</v>
      </c>
      <c r="F61" s="216">
        <f t="shared" si="30"/>
        <v>0</v>
      </c>
      <c r="G61" s="216">
        <f t="shared" si="30"/>
        <v>0</v>
      </c>
      <c r="H61" s="216">
        <f t="shared" si="30"/>
        <v>0</v>
      </c>
      <c r="I61" s="216">
        <f t="shared" si="30"/>
        <v>0</v>
      </c>
      <c r="J61" s="216">
        <f t="shared" si="30"/>
        <v>0</v>
      </c>
      <c r="K61" s="216">
        <f t="shared" si="30"/>
        <v>0</v>
      </c>
      <c r="L61" s="216">
        <f t="shared" si="30"/>
        <v>0</v>
      </c>
      <c r="M61" s="216">
        <f t="shared" si="30"/>
        <v>-8.0319300599999971E-5</v>
      </c>
      <c r="N61" s="216">
        <f t="shared" si="30"/>
        <v>0</v>
      </c>
      <c r="O61" s="216">
        <f t="shared" si="30"/>
        <v>0</v>
      </c>
      <c r="P61" s="111">
        <f t="shared" si="12"/>
        <v>-4015.9651103192996</v>
      </c>
      <c r="Q61" s="92"/>
      <c r="R61" s="92"/>
      <c r="S61" s="92"/>
      <c r="T61" s="92"/>
      <c r="U61" s="92"/>
      <c r="V61" s="92"/>
    </row>
    <row r="62" spans="1:22">
      <c r="A62" s="23">
        <f t="shared" si="14"/>
        <v>62</v>
      </c>
      <c r="B62" s="163" t="s">
        <v>205</v>
      </c>
      <c r="C62" s="228"/>
      <c r="D62" s="216">
        <f>(D21-D22)*4.62%*(D23-D9)*(D3=1)*IF(D9&gt;0,(D44+D45+D52+D53+D54+D55+D56+D57)/D9,0)*(D23&gt;0)</f>
        <v>0</v>
      </c>
      <c r="E62" s="110">
        <f>(E21-E22)*4.62%*(E23-E9)*(E3=1)*IF(E9&gt;0,(E44+E45+E52+E53+E54+E55+E56+E57)/E9,0)*(E23&gt;0)</f>
        <v>0</v>
      </c>
      <c r="F62" s="110">
        <f>(F21-F22)*4.62%*(F23-F9)*(F3=1)*IF(F9&gt;0,(F44+F45+F52+F53+F54+F55+F56+F57)/F9,0)*(F23&gt;0)</f>
        <v>0</v>
      </c>
      <c r="G62" s="110">
        <f>(G21-G22)*4.62%*(G23-G9)*(G3=1)*IF(G9&gt;0,(G44+G45+G52+G53+G54+G55+G56+G57)/G9,0)*(G23&gt;0)</f>
        <v>0</v>
      </c>
      <c r="H62" s="110">
        <f>(H21-H22)*4.62%*(H23-H9)*(H3=1)*IF(H9&gt;0,(H44+H45+H52+H53+H54+H55+H56+H57)/H9,0)*(H23&gt;0)</f>
        <v>0</v>
      </c>
      <c r="I62" s="110">
        <f t="shared" ref="I62:O62" si="31">(I21-I22)*4.62%*(I24-I9)*(I3=1)*IF(I9&gt;0,(I44+I45+I52+I53+I54+I55+I56+I57)/I9,0)*(I24&gt;0)</f>
        <v>0</v>
      </c>
      <c r="J62" s="110">
        <f t="shared" si="31"/>
        <v>0</v>
      </c>
      <c r="K62" s="110">
        <f t="shared" si="31"/>
        <v>0</v>
      </c>
      <c r="L62" s="110">
        <f t="shared" si="31"/>
        <v>0</v>
      </c>
      <c r="M62" s="110">
        <f t="shared" si="31"/>
        <v>1.0344717859086769E-6</v>
      </c>
      <c r="N62" s="110">
        <f t="shared" si="31"/>
        <v>0</v>
      </c>
      <c r="O62" s="110">
        <f t="shared" si="31"/>
        <v>206.89435718173542</v>
      </c>
      <c r="P62" s="111">
        <f t="shared" si="12"/>
        <v>206.89435821620719</v>
      </c>
      <c r="Q62" s="92"/>
      <c r="R62" s="92"/>
      <c r="S62" s="92"/>
      <c r="T62" s="92"/>
      <c r="U62" s="92"/>
      <c r="V62" s="92"/>
    </row>
    <row r="63" spans="1:22">
      <c r="A63" s="23">
        <f t="shared" si="14"/>
        <v>63</v>
      </c>
      <c r="B63" s="163" t="s">
        <v>192</v>
      </c>
      <c r="C63" s="228"/>
      <c r="D63" s="216">
        <f t="shared" ref="D63:O63" si="32">SUM(D32:D42)+MAX(D31-8000,0)</f>
        <v>0</v>
      </c>
      <c r="E63" s="110">
        <f t="shared" si="32"/>
        <v>0</v>
      </c>
      <c r="F63" s="110">
        <f t="shared" si="32"/>
        <v>0</v>
      </c>
      <c r="G63" s="110">
        <f t="shared" si="32"/>
        <v>0</v>
      </c>
      <c r="H63" s="110">
        <f t="shared" si="32"/>
        <v>0</v>
      </c>
      <c r="I63" s="110">
        <f t="shared" si="32"/>
        <v>0</v>
      </c>
      <c r="J63" s="110">
        <f t="shared" si="32"/>
        <v>0</v>
      </c>
      <c r="K63" s="110">
        <f t="shared" si="32"/>
        <v>0</v>
      </c>
      <c r="L63" s="110">
        <f t="shared" si="32"/>
        <v>0</v>
      </c>
      <c r="M63" s="110">
        <f t="shared" si="32"/>
        <v>2653.37</v>
      </c>
      <c r="N63" s="110">
        <f t="shared" si="32"/>
        <v>0</v>
      </c>
      <c r="O63" s="110">
        <f t="shared" si="32"/>
        <v>0</v>
      </c>
      <c r="P63" s="111">
        <f t="shared" si="12"/>
        <v>2653.37</v>
      </c>
      <c r="Q63" s="92"/>
      <c r="R63" s="92"/>
      <c r="S63" s="92"/>
      <c r="T63" s="92"/>
      <c r="U63" s="92"/>
      <c r="V63" s="92"/>
    </row>
    <row r="64" spans="1:22">
      <c r="A64" s="23">
        <f t="shared" si="14"/>
        <v>64</v>
      </c>
      <c r="B64" s="189" t="s">
        <v>22</v>
      </c>
      <c r="C64" s="228"/>
      <c r="D64" s="217">
        <f>SUM(D28:D30)+IF(D31&gt;0,MIN(D31,8000),0)</f>
        <v>0</v>
      </c>
      <c r="E64" s="217">
        <f t="shared" ref="E64:O64" si="33">SUM(E28:E30)+IF(E31&gt;0,MIN(E31,8000),0)</f>
        <v>0</v>
      </c>
      <c r="F64" s="217">
        <f t="shared" si="33"/>
        <v>0</v>
      </c>
      <c r="G64" s="217">
        <f t="shared" si="33"/>
        <v>0</v>
      </c>
      <c r="H64" s="217">
        <f t="shared" si="33"/>
        <v>0</v>
      </c>
      <c r="I64" s="217">
        <f t="shared" si="33"/>
        <v>0</v>
      </c>
      <c r="J64" s="217">
        <f t="shared" si="33"/>
        <v>0</v>
      </c>
      <c r="K64" s="217">
        <f t="shared" si="33"/>
        <v>0</v>
      </c>
      <c r="L64" s="217">
        <f t="shared" si="33"/>
        <v>0</v>
      </c>
      <c r="M64" s="217">
        <f t="shared" si="33"/>
        <v>0</v>
      </c>
      <c r="N64" s="217">
        <f t="shared" si="33"/>
        <v>0</v>
      </c>
      <c r="O64" s="217">
        <f t="shared" si="33"/>
        <v>0</v>
      </c>
      <c r="P64" s="112">
        <f t="shared" si="12"/>
        <v>0</v>
      </c>
      <c r="Q64" s="92"/>
      <c r="R64" s="92"/>
      <c r="S64" s="92"/>
      <c r="T64" s="92"/>
      <c r="U64" s="92"/>
      <c r="V64" s="92"/>
    </row>
    <row r="65" spans="1:22">
      <c r="A65" s="23">
        <f t="shared" si="14"/>
        <v>65</v>
      </c>
      <c r="B65" s="77" t="s">
        <v>114</v>
      </c>
      <c r="C65" s="229"/>
      <c r="D65" s="218">
        <f>SUM(D44:D64)</f>
        <v>13369.164969999998</v>
      </c>
      <c r="E65" s="218">
        <f t="shared" ref="E65:O65" si="34">SUM(E44:E64)</f>
        <v>17385.129999999997</v>
      </c>
      <c r="F65" s="218">
        <f t="shared" si="34"/>
        <v>17385.129999999997</v>
      </c>
      <c r="G65" s="218">
        <f t="shared" si="34"/>
        <v>17385.129999999997</v>
      </c>
      <c r="H65" s="218">
        <f t="shared" si="34"/>
        <v>17385.129999999997</v>
      </c>
      <c r="I65" s="218">
        <f t="shared" si="34"/>
        <v>17385.129999999997</v>
      </c>
      <c r="J65" s="218">
        <f t="shared" si="34"/>
        <v>17385.129999999997</v>
      </c>
      <c r="K65" s="218">
        <f t="shared" si="34"/>
        <v>17385.129999999997</v>
      </c>
      <c r="L65" s="218">
        <f t="shared" si="34"/>
        <v>17385.129999999997</v>
      </c>
      <c r="M65" s="218">
        <f t="shared" si="34"/>
        <v>20038.499920715167</v>
      </c>
      <c r="N65" s="218">
        <f t="shared" si="34"/>
        <v>17385.129999999997</v>
      </c>
      <c r="O65" s="218">
        <f t="shared" si="34"/>
        <v>17592.024357181734</v>
      </c>
      <c r="P65" s="84">
        <f t="shared" si="12"/>
        <v>207465.85924789691</v>
      </c>
      <c r="Q65" s="92"/>
      <c r="R65" s="92"/>
      <c r="S65" s="92"/>
      <c r="T65" s="92"/>
      <c r="U65" s="92"/>
      <c r="V65" s="92"/>
    </row>
    <row r="66" spans="1:22">
      <c r="A66" s="23">
        <f t="shared" si="14"/>
        <v>66</v>
      </c>
      <c r="B66" s="162" t="s">
        <v>111</v>
      </c>
      <c r="C66" s="228"/>
      <c r="D66" s="215">
        <f>ROUND(D44*17.3%/3,2)*(D6="L")</f>
        <v>847.32</v>
      </c>
      <c r="E66" s="108">
        <f t="shared" ref="E66:O66" si="35">ROUND(E44*17.3%/3,2)*(E6="L")</f>
        <v>847.32</v>
      </c>
      <c r="F66" s="108">
        <f t="shared" si="35"/>
        <v>847.32</v>
      </c>
      <c r="G66" s="108">
        <f t="shared" si="35"/>
        <v>847.32</v>
      </c>
      <c r="H66" s="108">
        <f t="shared" si="35"/>
        <v>847.32</v>
      </c>
      <c r="I66" s="108">
        <f t="shared" si="35"/>
        <v>847.32</v>
      </c>
      <c r="J66" s="108">
        <f t="shared" si="35"/>
        <v>847.32</v>
      </c>
      <c r="K66" s="108">
        <f t="shared" si="35"/>
        <v>847.32</v>
      </c>
      <c r="L66" s="108">
        <f t="shared" si="35"/>
        <v>847.32</v>
      </c>
      <c r="M66" s="108">
        <f t="shared" si="35"/>
        <v>847.32</v>
      </c>
      <c r="N66" s="108">
        <f t="shared" si="35"/>
        <v>847.32</v>
      </c>
      <c r="O66" s="108">
        <f t="shared" si="35"/>
        <v>847.32</v>
      </c>
      <c r="P66" s="109">
        <f t="shared" si="12"/>
        <v>10167.839999999998</v>
      </c>
      <c r="Q66" s="92"/>
      <c r="R66" s="92"/>
      <c r="S66" s="92"/>
      <c r="T66" s="92"/>
      <c r="U66" s="92"/>
      <c r="V66" s="92"/>
    </row>
    <row r="67" spans="1:22">
      <c r="A67" s="23">
        <f t="shared" si="14"/>
        <v>67</v>
      </c>
      <c r="B67" s="163" t="s">
        <v>196</v>
      </c>
      <c r="C67" s="228"/>
      <c r="D67" s="216">
        <f>ROUND(D46*17.3%/3,2)*(D6="L")</f>
        <v>64.62</v>
      </c>
      <c r="E67" s="110">
        <f t="shared" ref="E67:O67" si="36">ROUND(E46*17.3%/3,2)*(E6="L")</f>
        <v>64.62</v>
      </c>
      <c r="F67" s="110">
        <f t="shared" si="36"/>
        <v>64.62</v>
      </c>
      <c r="G67" s="110">
        <f t="shared" si="36"/>
        <v>64.62</v>
      </c>
      <c r="H67" s="110">
        <f t="shared" si="36"/>
        <v>64.62</v>
      </c>
      <c r="I67" s="110">
        <f t="shared" si="36"/>
        <v>64.62</v>
      </c>
      <c r="J67" s="110">
        <f t="shared" si="36"/>
        <v>64.62</v>
      </c>
      <c r="K67" s="110">
        <f t="shared" si="36"/>
        <v>64.62</v>
      </c>
      <c r="L67" s="110">
        <f t="shared" si="36"/>
        <v>64.62</v>
      </c>
      <c r="M67" s="110">
        <f t="shared" si="36"/>
        <v>64.62</v>
      </c>
      <c r="N67" s="110">
        <f t="shared" si="36"/>
        <v>64.62</v>
      </c>
      <c r="O67" s="110">
        <f t="shared" si="36"/>
        <v>64.62</v>
      </c>
      <c r="P67" s="111">
        <f t="shared" si="12"/>
        <v>775.44</v>
      </c>
      <c r="Q67" s="92"/>
      <c r="R67" s="92"/>
      <c r="S67" s="92"/>
      <c r="T67" s="92"/>
      <c r="U67" s="92"/>
      <c r="V67" s="92"/>
    </row>
    <row r="68" spans="1:22">
      <c r="A68" s="23">
        <f t="shared" si="14"/>
        <v>68</v>
      </c>
      <c r="B68" s="163" t="s">
        <v>112</v>
      </c>
      <c r="C68" s="228"/>
      <c r="D68" s="216">
        <f>ROUND(D47*17.3%/3,2)</f>
        <v>0</v>
      </c>
      <c r="E68" s="110">
        <f t="shared" ref="E68:O68" si="37">ROUND(E47*17.3%/3,2)</f>
        <v>0</v>
      </c>
      <c r="F68" s="110">
        <f t="shared" si="37"/>
        <v>0</v>
      </c>
      <c r="G68" s="110">
        <f t="shared" si="37"/>
        <v>0</v>
      </c>
      <c r="H68" s="110">
        <f t="shared" si="37"/>
        <v>0</v>
      </c>
      <c r="I68" s="110">
        <f t="shared" si="37"/>
        <v>0</v>
      </c>
      <c r="J68" s="110">
        <f t="shared" si="37"/>
        <v>0</v>
      </c>
      <c r="K68" s="110">
        <f t="shared" si="37"/>
        <v>0</v>
      </c>
      <c r="L68" s="110">
        <f t="shared" si="37"/>
        <v>0</v>
      </c>
      <c r="M68" s="110">
        <f t="shared" si="37"/>
        <v>0</v>
      </c>
      <c r="N68" s="110">
        <f t="shared" si="37"/>
        <v>0</v>
      </c>
      <c r="O68" s="110">
        <f t="shared" si="37"/>
        <v>0</v>
      </c>
      <c r="P68" s="111">
        <f t="shared" si="12"/>
        <v>0</v>
      </c>
      <c r="Q68" s="92"/>
      <c r="R68" s="92"/>
      <c r="S68" s="92"/>
      <c r="T68" s="92"/>
      <c r="U68" s="92"/>
      <c r="V68" s="92"/>
    </row>
    <row r="69" spans="1:22">
      <c r="A69" s="23">
        <f t="shared" si="14"/>
        <v>69</v>
      </c>
      <c r="B69" s="163" t="s">
        <v>203</v>
      </c>
      <c r="C69" s="228"/>
      <c r="D69" s="216">
        <f>ROUND(D48*17.3%/3,2)*OR((D6="L"),(LEFT(D19)="J"))</f>
        <v>0</v>
      </c>
      <c r="E69" s="110">
        <f t="shared" ref="E69:O69" si="38">ROUND(E48*17.3%/3,2)*OR((E6="L"),(LEFT(E19)="J"))</f>
        <v>0</v>
      </c>
      <c r="F69" s="110">
        <f t="shared" si="38"/>
        <v>0</v>
      </c>
      <c r="G69" s="110">
        <f t="shared" si="38"/>
        <v>0</v>
      </c>
      <c r="H69" s="110">
        <f t="shared" si="38"/>
        <v>0</v>
      </c>
      <c r="I69" s="110">
        <f t="shared" si="38"/>
        <v>0</v>
      </c>
      <c r="J69" s="110">
        <f t="shared" si="38"/>
        <v>0</v>
      </c>
      <c r="K69" s="110">
        <f t="shared" si="38"/>
        <v>0</v>
      </c>
      <c r="L69" s="110">
        <f t="shared" si="38"/>
        <v>0</v>
      </c>
      <c r="M69" s="110">
        <f t="shared" si="38"/>
        <v>0</v>
      </c>
      <c r="N69" s="110">
        <f t="shared" si="38"/>
        <v>0</v>
      </c>
      <c r="O69" s="110">
        <f t="shared" si="38"/>
        <v>0</v>
      </c>
      <c r="P69" s="111">
        <f t="shared" si="12"/>
        <v>0</v>
      </c>
      <c r="Q69" s="92"/>
      <c r="R69" s="92"/>
      <c r="S69" s="92"/>
      <c r="T69" s="92"/>
      <c r="U69" s="92"/>
      <c r="V69" s="92"/>
    </row>
    <row r="70" spans="1:22">
      <c r="A70" s="23">
        <f t="shared" si="14"/>
        <v>70</v>
      </c>
      <c r="B70" s="163" t="s">
        <v>204</v>
      </c>
      <c r="C70" s="228"/>
      <c r="D70" s="216">
        <f>ROUND(D49*17.3%/3,2)*OR((D6="L"),(LEFT(D19)="J"))</f>
        <v>0</v>
      </c>
      <c r="E70" s="110">
        <f t="shared" ref="E70:O70" si="39">ROUND(E49*17.3%/3,2)*OR((E6="L"),(LEFT(E19)="J"))</f>
        <v>0</v>
      </c>
      <c r="F70" s="110">
        <f t="shared" si="39"/>
        <v>0</v>
      </c>
      <c r="G70" s="110">
        <f t="shared" si="39"/>
        <v>0</v>
      </c>
      <c r="H70" s="110">
        <f t="shared" si="39"/>
        <v>0</v>
      </c>
      <c r="I70" s="110">
        <f t="shared" si="39"/>
        <v>0</v>
      </c>
      <c r="J70" s="110">
        <f t="shared" si="39"/>
        <v>0</v>
      </c>
      <c r="K70" s="110">
        <f t="shared" si="39"/>
        <v>0</v>
      </c>
      <c r="L70" s="110">
        <f t="shared" si="39"/>
        <v>0</v>
      </c>
      <c r="M70" s="110">
        <f t="shared" si="39"/>
        <v>0</v>
      </c>
      <c r="N70" s="110">
        <f t="shared" si="39"/>
        <v>0</v>
      </c>
      <c r="O70" s="110">
        <f t="shared" si="39"/>
        <v>0</v>
      </c>
      <c r="P70" s="111">
        <f t="shared" si="12"/>
        <v>0</v>
      </c>
      <c r="Q70" s="92"/>
      <c r="R70" s="92"/>
      <c r="S70" s="92"/>
      <c r="T70" s="92"/>
      <c r="U70" s="92"/>
      <c r="V70" s="92"/>
    </row>
    <row r="71" spans="1:22">
      <c r="A71" s="23">
        <f t="shared" si="14"/>
        <v>71</v>
      </c>
      <c r="B71" s="163" t="s">
        <v>64</v>
      </c>
      <c r="C71" s="228"/>
      <c r="D71" s="216">
        <f>ROUND(D50*17.3%/3,2)*OR((D6="L"),(LEFT(D19)="J"))</f>
        <v>0</v>
      </c>
      <c r="E71" s="110">
        <f t="shared" ref="E71:O71" si="40">ROUND(E50*17.3%/3,2)*OR((E6="L"),(LEFT(E19)="J"))</f>
        <v>0</v>
      </c>
      <c r="F71" s="110">
        <f t="shared" si="40"/>
        <v>0</v>
      </c>
      <c r="G71" s="110">
        <f t="shared" si="40"/>
        <v>0</v>
      </c>
      <c r="H71" s="110">
        <f t="shared" si="40"/>
        <v>0</v>
      </c>
      <c r="I71" s="110">
        <f t="shared" si="40"/>
        <v>0</v>
      </c>
      <c r="J71" s="110">
        <f t="shared" si="40"/>
        <v>0</v>
      </c>
      <c r="K71" s="110">
        <f t="shared" si="40"/>
        <v>0</v>
      </c>
      <c r="L71" s="110">
        <f t="shared" si="40"/>
        <v>0</v>
      </c>
      <c r="M71" s="110">
        <f t="shared" si="40"/>
        <v>0</v>
      </c>
      <c r="N71" s="110">
        <f t="shared" si="40"/>
        <v>0</v>
      </c>
      <c r="O71" s="110">
        <f t="shared" si="40"/>
        <v>0</v>
      </c>
      <c r="P71" s="111">
        <f t="shared" si="12"/>
        <v>0</v>
      </c>
      <c r="Q71" s="92"/>
      <c r="R71" s="92"/>
      <c r="S71" s="92"/>
      <c r="T71" s="92"/>
      <c r="U71" s="92"/>
      <c r="V71" s="92"/>
    </row>
    <row r="72" spans="1:22">
      <c r="A72" s="23">
        <f t="shared" si="14"/>
        <v>72</v>
      </c>
      <c r="B72" s="163" t="s">
        <v>65</v>
      </c>
      <c r="C72" s="228"/>
      <c r="D72" s="216">
        <f>ROUND(D51*17.3%/3,2)*OR((D6="L"),(LEFT(D19)="J"))</f>
        <v>0</v>
      </c>
      <c r="E72" s="110">
        <f t="shared" ref="E72:O72" si="41">ROUND(E51*17.3%/3,2)*OR((E6="L"),(LEFT(E19)="J"))</f>
        <v>0</v>
      </c>
      <c r="F72" s="110">
        <f t="shared" si="41"/>
        <v>0</v>
      </c>
      <c r="G72" s="110">
        <f t="shared" si="41"/>
        <v>0</v>
      </c>
      <c r="H72" s="110">
        <f t="shared" si="41"/>
        <v>0</v>
      </c>
      <c r="I72" s="110">
        <f t="shared" si="41"/>
        <v>0</v>
      </c>
      <c r="J72" s="110">
        <f t="shared" si="41"/>
        <v>0</v>
      </c>
      <c r="K72" s="110">
        <f t="shared" si="41"/>
        <v>0</v>
      </c>
      <c r="L72" s="110">
        <f t="shared" si="41"/>
        <v>0</v>
      </c>
      <c r="M72" s="110">
        <f t="shared" si="41"/>
        <v>0</v>
      </c>
      <c r="N72" s="110">
        <f t="shared" si="41"/>
        <v>0</v>
      </c>
      <c r="O72" s="110">
        <f t="shared" si="41"/>
        <v>0</v>
      </c>
      <c r="P72" s="111">
        <f t="shared" si="12"/>
        <v>0</v>
      </c>
      <c r="Q72" s="92"/>
      <c r="R72" s="92"/>
      <c r="S72" s="92"/>
      <c r="T72" s="92"/>
      <c r="U72" s="92"/>
      <c r="V72" s="92"/>
    </row>
    <row r="73" spans="1:22">
      <c r="A73" s="23">
        <f t="shared" si="14"/>
        <v>73</v>
      </c>
      <c r="B73" s="163" t="s">
        <v>66</v>
      </c>
      <c r="C73" s="228"/>
      <c r="D73" s="216">
        <f>ROUND(D52*17.3%/3,2)*OR((D6="L"),(LEFT(D19)="J"))</f>
        <v>49.99</v>
      </c>
      <c r="E73" s="110">
        <f t="shared" ref="E73:O73" si="42">ROUND(E52*17.3%/3,2)*OR((E6="L"),(LEFT(E19)="J"))</f>
        <v>49.99</v>
      </c>
      <c r="F73" s="110">
        <f t="shared" si="42"/>
        <v>49.99</v>
      </c>
      <c r="G73" s="110">
        <f t="shared" si="42"/>
        <v>49.99</v>
      </c>
      <c r="H73" s="110">
        <f t="shared" si="42"/>
        <v>49.99</v>
      </c>
      <c r="I73" s="110">
        <f t="shared" si="42"/>
        <v>49.99</v>
      </c>
      <c r="J73" s="110">
        <f t="shared" si="42"/>
        <v>49.99</v>
      </c>
      <c r="K73" s="110">
        <f t="shared" si="42"/>
        <v>49.99</v>
      </c>
      <c r="L73" s="110">
        <f t="shared" si="42"/>
        <v>49.99</v>
      </c>
      <c r="M73" s="110">
        <f t="shared" si="42"/>
        <v>49.99</v>
      </c>
      <c r="N73" s="110">
        <f t="shared" si="42"/>
        <v>49.99</v>
      </c>
      <c r="O73" s="110">
        <f t="shared" si="42"/>
        <v>49.99</v>
      </c>
      <c r="P73" s="111">
        <f t="shared" si="12"/>
        <v>599.88</v>
      </c>
      <c r="Q73" s="92"/>
      <c r="R73" s="92"/>
      <c r="S73" s="92"/>
      <c r="T73" s="92"/>
      <c r="U73" s="92"/>
      <c r="V73" s="92"/>
    </row>
    <row r="74" spans="1:22">
      <c r="A74" s="23">
        <f t="shared" si="14"/>
        <v>74</v>
      </c>
      <c r="B74" s="163" t="s">
        <v>67</v>
      </c>
      <c r="C74" s="228"/>
      <c r="D74" s="216">
        <f t="shared" ref="D74:O74" si="43">ROUND(D53*17.3%/3,2)*OR((D6="L"),(LEFT(D19)="J"))</f>
        <v>0</v>
      </c>
      <c r="E74" s="110">
        <f t="shared" si="43"/>
        <v>0</v>
      </c>
      <c r="F74" s="110">
        <f t="shared" si="43"/>
        <v>0</v>
      </c>
      <c r="G74" s="110">
        <f t="shared" si="43"/>
        <v>0</v>
      </c>
      <c r="H74" s="110">
        <f t="shared" si="43"/>
        <v>0</v>
      </c>
      <c r="I74" s="110">
        <f t="shared" si="43"/>
        <v>0</v>
      </c>
      <c r="J74" s="110">
        <f t="shared" si="43"/>
        <v>0</v>
      </c>
      <c r="K74" s="110">
        <f t="shared" si="43"/>
        <v>0</v>
      </c>
      <c r="L74" s="110">
        <f t="shared" si="43"/>
        <v>0</v>
      </c>
      <c r="M74" s="110">
        <f t="shared" si="43"/>
        <v>0</v>
      </c>
      <c r="N74" s="110">
        <f t="shared" si="43"/>
        <v>0</v>
      </c>
      <c r="O74" s="110">
        <f t="shared" si="43"/>
        <v>0</v>
      </c>
      <c r="P74" s="111">
        <f t="shared" si="12"/>
        <v>0</v>
      </c>
      <c r="Q74" s="92"/>
      <c r="R74" s="92"/>
      <c r="S74" s="92"/>
      <c r="T74" s="92"/>
      <c r="U74" s="92"/>
      <c r="V74" s="92"/>
    </row>
    <row r="75" spans="1:22">
      <c r="A75" s="23">
        <f t="shared" si="14"/>
        <v>75</v>
      </c>
      <c r="B75" s="163" t="s">
        <v>20</v>
      </c>
      <c r="C75" s="228"/>
      <c r="D75" s="216">
        <f t="shared" ref="D75:O75" si="44">ROUND(D54*17.3%/3,2)*OR((D7="L"),(LEFT(D20)="J"))</f>
        <v>0</v>
      </c>
      <c r="E75" s="110">
        <f t="shared" si="44"/>
        <v>0</v>
      </c>
      <c r="F75" s="110">
        <f t="shared" si="44"/>
        <v>0</v>
      </c>
      <c r="G75" s="110">
        <f t="shared" si="44"/>
        <v>0</v>
      </c>
      <c r="H75" s="110">
        <f t="shared" si="44"/>
        <v>0</v>
      </c>
      <c r="I75" s="110">
        <f t="shared" si="44"/>
        <v>0</v>
      </c>
      <c r="J75" s="110">
        <f t="shared" si="44"/>
        <v>0</v>
      </c>
      <c r="K75" s="110">
        <f t="shared" si="44"/>
        <v>0</v>
      </c>
      <c r="L75" s="110">
        <f t="shared" si="44"/>
        <v>0</v>
      </c>
      <c r="M75" s="110">
        <f t="shared" si="44"/>
        <v>0</v>
      </c>
      <c r="N75" s="110">
        <f t="shared" si="44"/>
        <v>0</v>
      </c>
      <c r="O75" s="110">
        <f t="shared" si="44"/>
        <v>0</v>
      </c>
      <c r="P75" s="111">
        <f>SUM(D75:O75)</f>
        <v>0</v>
      </c>
      <c r="Q75" s="92"/>
      <c r="R75" s="92"/>
      <c r="S75" s="92"/>
      <c r="T75" s="92"/>
      <c r="U75" s="92"/>
      <c r="V75" s="92"/>
    </row>
    <row r="76" spans="1:22">
      <c r="A76" s="23">
        <f t="shared" si="14"/>
        <v>76</v>
      </c>
      <c r="B76" s="163" t="s">
        <v>68</v>
      </c>
      <c r="C76" s="228"/>
      <c r="D76" s="216">
        <f>ROUND(D55*17.3%/3,2)*(D6="L")</f>
        <v>0</v>
      </c>
      <c r="E76" s="110">
        <f t="shared" ref="E76:O76" si="45">ROUND(E55*17.3%/3,2)*(E6="L")</f>
        <v>0</v>
      </c>
      <c r="F76" s="110">
        <f t="shared" si="45"/>
        <v>0</v>
      </c>
      <c r="G76" s="110">
        <f t="shared" si="45"/>
        <v>0</v>
      </c>
      <c r="H76" s="110">
        <f t="shared" si="45"/>
        <v>0</v>
      </c>
      <c r="I76" s="110">
        <f t="shared" si="45"/>
        <v>0</v>
      </c>
      <c r="J76" s="110">
        <f t="shared" si="45"/>
        <v>0</v>
      </c>
      <c r="K76" s="110">
        <f t="shared" si="45"/>
        <v>0</v>
      </c>
      <c r="L76" s="110">
        <f t="shared" si="45"/>
        <v>0</v>
      </c>
      <c r="M76" s="110">
        <f t="shared" si="45"/>
        <v>0</v>
      </c>
      <c r="N76" s="110">
        <f t="shared" si="45"/>
        <v>0</v>
      </c>
      <c r="O76" s="110">
        <f t="shared" si="45"/>
        <v>0</v>
      </c>
      <c r="P76" s="111">
        <f t="shared" si="12"/>
        <v>0</v>
      </c>
      <c r="Q76" s="92"/>
      <c r="R76" s="92"/>
      <c r="S76" s="92"/>
      <c r="T76" s="92"/>
      <c r="U76" s="92"/>
      <c r="V76" s="92"/>
    </row>
    <row r="77" spans="1:22">
      <c r="A77" s="23">
        <f t="shared" si="14"/>
        <v>77</v>
      </c>
      <c r="B77" s="163" t="s">
        <v>69</v>
      </c>
      <c r="C77" s="228"/>
      <c r="D77" s="216">
        <f>ROUND(D57*17.3%/3,2)*(D6="L")</f>
        <v>0</v>
      </c>
      <c r="E77" s="110">
        <f t="shared" ref="E77:O77" si="46">ROUND(E57*17.3%/3,2)*(E6="L")</f>
        <v>0</v>
      </c>
      <c r="F77" s="110">
        <f t="shared" si="46"/>
        <v>0</v>
      </c>
      <c r="G77" s="110">
        <f t="shared" si="46"/>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1">
        <f t="shared" si="12"/>
        <v>0</v>
      </c>
      <c r="Q77" s="92"/>
      <c r="R77" s="92"/>
      <c r="S77" s="92"/>
      <c r="T77" s="92"/>
      <c r="U77" s="92"/>
      <c r="V77" s="92"/>
    </row>
    <row r="78" spans="1:22">
      <c r="A78" s="23">
        <f t="shared" si="14"/>
        <v>78</v>
      </c>
      <c r="B78" s="163" t="s">
        <v>119</v>
      </c>
      <c r="C78" s="228"/>
      <c r="D78" s="216">
        <f>((SUM(D44:D60)-230328.08*D7*D9/12)*0.7%/3*((D65-D61)&gt;230328.08/12*D7*D9)*(LEFT(D4)="B")+(SUM(D44:D60)-275936.7*D7*D9/12)*0.7%/3*(SUM(D44:D60)&gt;275936.7/12*D7*D9)*(LEFT(D4)="L"))*(LEFT(D6)&lt;&gt;"L")*(LEFT(D19)="J")</f>
        <v>0</v>
      </c>
      <c r="E78" s="110">
        <f t="shared" ref="E78:O78" si="47">((SUM(E44:E60)-230328.08*E7*E9/12)*0.7%/3*((E65-E61)&gt;230328.08/12*E7*E9)*(LEFT(E4)="B")+(SUM(E44:E60)-275936.7*E7*E9/12)*0.7%/3*(SUM(E44:E60)&gt;275936.7/12*E7*E9)*(LEFT(E4)="L"))*(LEFT(E6)&lt;&gt;"L")*(LEFT(E19)="J")</f>
        <v>0</v>
      </c>
      <c r="F78" s="110">
        <f t="shared" si="47"/>
        <v>0</v>
      </c>
      <c r="G78" s="110">
        <f t="shared" si="47"/>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1">
        <f t="shared" si="12"/>
        <v>0</v>
      </c>
      <c r="Q78" s="92"/>
      <c r="R78" s="92"/>
      <c r="S78" s="92"/>
      <c r="T78" s="92"/>
      <c r="U78" s="92"/>
      <c r="V78" s="92"/>
    </row>
    <row r="79" spans="1:22">
      <c r="A79" s="23">
        <f t="shared" si="14"/>
        <v>79</v>
      </c>
      <c r="B79" s="163" t="s">
        <v>263</v>
      </c>
      <c r="C79" s="228"/>
      <c r="D79" s="216">
        <f>ROUND(-(D22+D25)*4.62%*SUM(D66:D78)/3,2)</f>
        <v>-74.069999999999993</v>
      </c>
      <c r="E79" s="216">
        <f t="shared" ref="E79:O79" si="48">ROUND(-(E22+E25)*4.62%*SUM(E66:E78)/3,2)</f>
        <v>0</v>
      </c>
      <c r="F79" s="216">
        <f t="shared" si="48"/>
        <v>0</v>
      </c>
      <c r="G79" s="216">
        <f t="shared" si="48"/>
        <v>0</v>
      </c>
      <c r="H79" s="216">
        <f t="shared" si="48"/>
        <v>0</v>
      </c>
      <c r="I79" s="216">
        <f t="shared" si="48"/>
        <v>0</v>
      </c>
      <c r="J79" s="216">
        <f t="shared" si="48"/>
        <v>0</v>
      </c>
      <c r="K79" s="216">
        <f t="shared" si="48"/>
        <v>0</v>
      </c>
      <c r="L79" s="216">
        <f t="shared" si="48"/>
        <v>0</v>
      </c>
      <c r="M79" s="216">
        <f t="shared" si="48"/>
        <v>0</v>
      </c>
      <c r="N79" s="216">
        <f t="shared" si="48"/>
        <v>0</v>
      </c>
      <c r="O79" s="216">
        <f t="shared" si="48"/>
        <v>0</v>
      </c>
      <c r="P79" s="111">
        <f t="shared" si="12"/>
        <v>-74.069999999999993</v>
      </c>
      <c r="Q79" s="92"/>
      <c r="R79" s="92"/>
      <c r="S79" s="92"/>
      <c r="T79" s="92"/>
      <c r="U79" s="92"/>
      <c r="V79" s="92"/>
    </row>
    <row r="80" spans="1:22">
      <c r="A80" s="23">
        <f t="shared" si="14"/>
        <v>80</v>
      </c>
      <c r="B80" s="164" t="s">
        <v>43</v>
      </c>
      <c r="C80" s="228"/>
      <c r="D80" s="219">
        <f>IF(OR(D62=0,D9=0),0,(D66+D73+D74+D76+D77)/D9*4.62%*(D23-D9)*(D21-D22))</f>
        <v>0</v>
      </c>
      <c r="E80" s="219">
        <f t="shared" ref="E80:L80" si="49">IF(OR(E62=0,E9=0),0,(E66+E73+E74+E76+E77)/E9*4.62%*(E23-E9)*(E21-E22))</f>
        <v>0</v>
      </c>
      <c r="F80" s="219">
        <f t="shared" si="49"/>
        <v>0</v>
      </c>
      <c r="G80" s="219">
        <f t="shared" si="49"/>
        <v>0</v>
      </c>
      <c r="H80" s="219">
        <f t="shared" si="49"/>
        <v>0</v>
      </c>
      <c r="I80" s="219">
        <f t="shared" si="49"/>
        <v>0</v>
      </c>
      <c r="J80" s="219">
        <f t="shared" si="49"/>
        <v>0</v>
      </c>
      <c r="K80" s="219">
        <f t="shared" si="49"/>
        <v>0</v>
      </c>
      <c r="L80" s="219">
        <f t="shared" si="49"/>
        <v>0</v>
      </c>
      <c r="M80" s="219">
        <f>IF(OR(M62=0,M9=0),0,(M66+M73+M74+M76+M77)/M9*4.62%*(M24-M9)*(M21-M22))</f>
        <v>5.7664445479286273E-8</v>
      </c>
      <c r="N80" s="219">
        <f>IF(OR(N62=0,N9=0),0,(N66+N73+N74+N76+N77)/N9*4.62%*(N24-N9)*(N21-N22))</f>
        <v>0</v>
      </c>
      <c r="O80" s="219">
        <f>IF(OR(O62=0,O9=0),0,(O66+O73+O74+O76+O77)/O9*4.62%*(O24-O9)*(O21-O22))</f>
        <v>11.532889095857255</v>
      </c>
      <c r="P80" s="131">
        <f t="shared" si="12"/>
        <v>11.532889153521701</v>
      </c>
      <c r="Q80" s="92"/>
      <c r="R80" s="92"/>
      <c r="S80" s="92"/>
      <c r="T80" s="92"/>
      <c r="U80" s="92"/>
      <c r="V80" s="92"/>
    </row>
    <row r="81" spans="1:22" ht="13" thickBot="1">
      <c r="A81" s="158">
        <f t="shared" si="14"/>
        <v>81</v>
      </c>
      <c r="B81" s="159" t="s">
        <v>194</v>
      </c>
      <c r="C81" s="229"/>
      <c r="D81" s="220">
        <f>SUM(D66:D80)</f>
        <v>887.86000000000013</v>
      </c>
      <c r="E81" s="160">
        <f t="shared" ref="E81:O81" si="50">SUM(E66:E80)</f>
        <v>961.93000000000006</v>
      </c>
      <c r="F81" s="160">
        <f t="shared" si="50"/>
        <v>961.93000000000006</v>
      </c>
      <c r="G81" s="160">
        <f t="shared" si="50"/>
        <v>961.93000000000006</v>
      </c>
      <c r="H81" s="160">
        <f t="shared" si="50"/>
        <v>961.93000000000006</v>
      </c>
      <c r="I81" s="160">
        <f t="shared" si="50"/>
        <v>961.93000000000006</v>
      </c>
      <c r="J81" s="160">
        <f t="shared" si="50"/>
        <v>961.93000000000006</v>
      </c>
      <c r="K81" s="160">
        <f t="shared" si="50"/>
        <v>961.93000000000006</v>
      </c>
      <c r="L81" s="160">
        <f t="shared" si="50"/>
        <v>961.93000000000006</v>
      </c>
      <c r="M81" s="160">
        <f t="shared" si="50"/>
        <v>961.93000005766453</v>
      </c>
      <c r="N81" s="160">
        <f t="shared" si="50"/>
        <v>961.93000000000006</v>
      </c>
      <c r="O81" s="160">
        <f t="shared" si="50"/>
        <v>973.46288909585735</v>
      </c>
      <c r="P81" s="161">
        <f t="shared" si="12"/>
        <v>11480.622889153523</v>
      </c>
      <c r="Q81" s="92"/>
      <c r="R81" s="92"/>
      <c r="S81" s="92"/>
      <c r="T81" s="92"/>
      <c r="U81" s="92"/>
      <c r="V81" s="92"/>
    </row>
    <row r="82" spans="1:22">
      <c r="A82" s="23">
        <f>A81+1</f>
        <v>82</v>
      </c>
      <c r="B82" s="190" t="s">
        <v>105</v>
      </c>
      <c r="C82" s="230"/>
      <c r="D82" s="221">
        <f>D94/3</f>
        <v>38.4</v>
      </c>
      <c r="E82" s="113">
        <f t="shared" ref="E82:O82" si="51">E94/3</f>
        <v>38.4</v>
      </c>
      <c r="F82" s="113">
        <f t="shared" si="51"/>
        <v>38.4</v>
      </c>
      <c r="G82" s="113">
        <f t="shared" si="51"/>
        <v>38.4</v>
      </c>
      <c r="H82" s="113">
        <f t="shared" si="51"/>
        <v>38.4</v>
      </c>
      <c r="I82" s="113">
        <f t="shared" si="51"/>
        <v>60</v>
      </c>
      <c r="J82" s="113">
        <f t="shared" si="51"/>
        <v>60</v>
      </c>
      <c r="K82" s="113">
        <f t="shared" si="51"/>
        <v>60</v>
      </c>
      <c r="L82" s="113">
        <f t="shared" si="51"/>
        <v>60</v>
      </c>
      <c r="M82" s="113">
        <f t="shared" si="51"/>
        <v>60</v>
      </c>
      <c r="N82" s="113">
        <f t="shared" si="51"/>
        <v>60</v>
      </c>
      <c r="O82" s="113">
        <f t="shared" si="51"/>
        <v>60</v>
      </c>
      <c r="P82" s="109">
        <f>SUM(D82:O82)</f>
        <v>612</v>
      </c>
      <c r="Q82" s="92"/>
      <c r="R82" s="92"/>
      <c r="S82" s="92"/>
      <c r="T82" s="92"/>
      <c r="U82" s="92"/>
      <c r="V82" s="92"/>
    </row>
    <row r="83" spans="1:22">
      <c r="A83" s="23">
        <f>A82+1</f>
        <v>83</v>
      </c>
      <c r="B83" s="190" t="s">
        <v>100</v>
      </c>
      <c r="C83" s="230"/>
      <c r="D83" s="221">
        <f t="shared" ref="D83:O83" si="52">SUM(D44:D63)-D82</f>
        <v>13330.764969999998</v>
      </c>
      <c r="E83" s="113">
        <f t="shared" si="52"/>
        <v>17346.729999999996</v>
      </c>
      <c r="F83" s="113">
        <f t="shared" si="52"/>
        <v>17346.729999999996</v>
      </c>
      <c r="G83" s="113">
        <f t="shared" si="52"/>
        <v>17346.729999999996</v>
      </c>
      <c r="H83" s="113">
        <f t="shared" si="52"/>
        <v>17346.729999999996</v>
      </c>
      <c r="I83" s="113">
        <f t="shared" si="52"/>
        <v>17325.129999999997</v>
      </c>
      <c r="J83" s="113">
        <f t="shared" si="52"/>
        <v>17325.129999999997</v>
      </c>
      <c r="K83" s="113">
        <f t="shared" si="52"/>
        <v>17325.129999999997</v>
      </c>
      <c r="L83" s="113">
        <f t="shared" si="52"/>
        <v>17325.129999999997</v>
      </c>
      <c r="M83" s="113">
        <f t="shared" si="52"/>
        <v>19978.499920715167</v>
      </c>
      <c r="N83" s="113">
        <f t="shared" si="52"/>
        <v>17325.129999999997</v>
      </c>
      <c r="O83" s="113">
        <f t="shared" si="52"/>
        <v>17532.024357181734</v>
      </c>
      <c r="P83" s="109">
        <f t="shared" ref="P83:P89" si="53">SUM(D83:O83)</f>
        <v>206853.85924789691</v>
      </c>
      <c r="Q83" s="92"/>
      <c r="R83" s="92"/>
      <c r="S83" s="92"/>
      <c r="T83" s="92"/>
      <c r="U83" s="92"/>
      <c r="V83" s="92"/>
    </row>
    <row r="84" spans="1:22">
      <c r="A84" s="23">
        <f t="shared" ref="A84:A100" si="54">A83+1</f>
        <v>84</v>
      </c>
      <c r="B84" s="191" t="s">
        <v>101</v>
      </c>
      <c r="C84" s="230"/>
      <c r="D84" s="222">
        <f>ROUND(D83*8%,0)</f>
        <v>1066</v>
      </c>
      <c r="E84" s="114">
        <f t="shared" ref="E84:O84" si="55">ROUND(E83*8%,0)</f>
        <v>1388</v>
      </c>
      <c r="F84" s="114">
        <f t="shared" si="55"/>
        <v>1388</v>
      </c>
      <c r="G84" s="114">
        <f t="shared" si="55"/>
        <v>1388</v>
      </c>
      <c r="H84" s="114">
        <f t="shared" si="55"/>
        <v>1388</v>
      </c>
      <c r="I84" s="114">
        <f t="shared" si="55"/>
        <v>1386</v>
      </c>
      <c r="J84" s="114">
        <f t="shared" si="55"/>
        <v>1386</v>
      </c>
      <c r="K84" s="114">
        <f t="shared" si="55"/>
        <v>1386</v>
      </c>
      <c r="L84" s="114">
        <f t="shared" si="55"/>
        <v>1386</v>
      </c>
      <c r="M84" s="114">
        <f t="shared" si="55"/>
        <v>1598</v>
      </c>
      <c r="N84" s="114">
        <f t="shared" si="55"/>
        <v>1386</v>
      </c>
      <c r="O84" s="114">
        <f t="shared" si="55"/>
        <v>1403</v>
      </c>
      <c r="P84" s="111">
        <f t="shared" si="53"/>
        <v>16549</v>
      </c>
      <c r="Q84" s="92"/>
      <c r="R84" s="92"/>
      <c r="S84" s="92"/>
      <c r="T84" s="92"/>
      <c r="U84" s="92"/>
      <c r="V84" s="92"/>
    </row>
    <row r="85" spans="1:22">
      <c r="A85" s="23">
        <f t="shared" si="54"/>
        <v>85</v>
      </c>
      <c r="B85" s="191" t="s">
        <v>102</v>
      </c>
      <c r="C85" s="230"/>
      <c r="D85" s="222">
        <f>D83-D84</f>
        <v>12264.764969999998</v>
      </c>
      <c r="E85" s="114">
        <f t="shared" ref="E85:O85" si="56">E83-E84</f>
        <v>15958.729999999996</v>
      </c>
      <c r="F85" s="114">
        <f t="shared" si="56"/>
        <v>15958.729999999996</v>
      </c>
      <c r="G85" s="114">
        <f t="shared" si="56"/>
        <v>15958.729999999996</v>
      </c>
      <c r="H85" s="114">
        <f t="shared" si="56"/>
        <v>15958.729999999996</v>
      </c>
      <c r="I85" s="114">
        <f t="shared" si="56"/>
        <v>15939.129999999997</v>
      </c>
      <c r="J85" s="114">
        <f t="shared" si="56"/>
        <v>15939.129999999997</v>
      </c>
      <c r="K85" s="114">
        <f t="shared" si="56"/>
        <v>15939.129999999997</v>
      </c>
      <c r="L85" s="114">
        <f t="shared" si="56"/>
        <v>15939.129999999997</v>
      </c>
      <c r="M85" s="114">
        <f t="shared" si="56"/>
        <v>18380.499920715167</v>
      </c>
      <c r="N85" s="114">
        <f t="shared" si="56"/>
        <v>15939.129999999997</v>
      </c>
      <c r="O85" s="114">
        <f t="shared" si="56"/>
        <v>16129.024357181734</v>
      </c>
      <c r="P85" s="111">
        <f t="shared" si="53"/>
        <v>190304.85924789691</v>
      </c>
      <c r="Q85" s="92"/>
      <c r="R85" s="92"/>
      <c r="S85" s="92"/>
      <c r="T85" s="92"/>
      <c r="U85" s="92"/>
      <c r="V85" s="92"/>
    </row>
    <row r="86" spans="1:22">
      <c r="A86" s="23">
        <f t="shared" si="54"/>
        <v>86</v>
      </c>
      <c r="B86" s="191" t="s">
        <v>115</v>
      </c>
      <c r="C86" s="230"/>
      <c r="D86" s="222">
        <f t="shared" ref="D86:O86" si="57">ROUND(D85-D27,-1)</f>
        <v>7260</v>
      </c>
      <c r="E86" s="114">
        <f t="shared" si="57"/>
        <v>10960</v>
      </c>
      <c r="F86" s="114">
        <f t="shared" si="57"/>
        <v>10960</v>
      </c>
      <c r="G86" s="114">
        <f t="shared" si="57"/>
        <v>10960</v>
      </c>
      <c r="H86" s="114">
        <f t="shared" si="57"/>
        <v>10960</v>
      </c>
      <c r="I86" s="114">
        <f t="shared" si="57"/>
        <v>10820</v>
      </c>
      <c r="J86" s="114">
        <f t="shared" si="57"/>
        <v>10820</v>
      </c>
      <c r="K86" s="114">
        <f t="shared" si="57"/>
        <v>10820</v>
      </c>
      <c r="L86" s="114">
        <f t="shared" si="57"/>
        <v>10820</v>
      </c>
      <c r="M86" s="114">
        <f t="shared" si="57"/>
        <v>13260</v>
      </c>
      <c r="N86" s="114">
        <f t="shared" si="57"/>
        <v>10820</v>
      </c>
      <c r="O86" s="114">
        <f t="shared" si="57"/>
        <v>11010</v>
      </c>
      <c r="P86" s="111"/>
      <c r="Q86" s="92"/>
      <c r="R86" s="92"/>
      <c r="S86" s="92"/>
      <c r="T86" s="92"/>
      <c r="U86" s="92"/>
      <c r="V86" s="92"/>
    </row>
    <row r="87" spans="1:22">
      <c r="A87" s="23">
        <f t="shared" si="54"/>
        <v>87</v>
      </c>
      <c r="B87" s="191" t="s">
        <v>103</v>
      </c>
      <c r="C87" s="230"/>
      <c r="D87" s="222">
        <f t="shared" ref="D87:O87" si="58">ROUND(D86*D26/100,0)</f>
        <v>3049</v>
      </c>
      <c r="E87" s="114">
        <f t="shared" si="58"/>
        <v>4603</v>
      </c>
      <c r="F87" s="114">
        <f t="shared" si="58"/>
        <v>4603</v>
      </c>
      <c r="G87" s="114">
        <f t="shared" si="58"/>
        <v>4603</v>
      </c>
      <c r="H87" s="114">
        <f t="shared" si="58"/>
        <v>4603</v>
      </c>
      <c r="I87" s="114">
        <f t="shared" si="58"/>
        <v>4436</v>
      </c>
      <c r="J87" s="114">
        <f t="shared" si="58"/>
        <v>4436</v>
      </c>
      <c r="K87" s="114">
        <f t="shared" si="58"/>
        <v>4436</v>
      </c>
      <c r="L87" s="114">
        <f t="shared" si="58"/>
        <v>4436</v>
      </c>
      <c r="M87" s="114">
        <f t="shared" si="58"/>
        <v>5437</v>
      </c>
      <c r="N87" s="114">
        <f t="shared" si="58"/>
        <v>4436</v>
      </c>
      <c r="O87" s="114">
        <f t="shared" si="58"/>
        <v>4514</v>
      </c>
      <c r="P87" s="111">
        <f t="shared" si="53"/>
        <v>53592</v>
      </c>
      <c r="Q87" s="92"/>
      <c r="R87" s="92"/>
      <c r="S87" s="92"/>
      <c r="T87" s="92"/>
      <c r="U87" s="92"/>
      <c r="V87" s="92"/>
    </row>
    <row r="88" spans="1:22">
      <c r="A88" s="23">
        <f t="shared" si="54"/>
        <v>88</v>
      </c>
      <c r="B88" s="191" t="s">
        <v>258</v>
      </c>
      <c r="C88" s="243">
        <f>Ex09_10!P89</f>
        <v>93981.859098857109</v>
      </c>
      <c r="D88" s="222">
        <f>SUM(D44:D63)</f>
        <v>13369.164969999998</v>
      </c>
      <c r="E88" s="114">
        <f>SUM(E44:E63)</f>
        <v>17385.129999999997</v>
      </c>
      <c r="F88" s="114">
        <f>SUM(F44:F63)</f>
        <v>17385.129999999997</v>
      </c>
      <c r="G88" s="114">
        <f>SUM(G44:G63)</f>
        <v>17385.129999999997</v>
      </c>
      <c r="H88" s="114">
        <f>SUM(H44:H63)</f>
        <v>17385.129999999997</v>
      </c>
      <c r="I88" s="143" t="s">
        <v>220</v>
      </c>
      <c r="J88" s="165"/>
      <c r="K88" s="165"/>
      <c r="L88" s="165"/>
      <c r="M88" s="165"/>
      <c r="N88" s="165"/>
      <c r="O88" s="165"/>
      <c r="P88" s="111">
        <f>SUM(C88:H88)</f>
        <v>176891.54406885713</v>
      </c>
      <c r="Q88" s="92"/>
      <c r="R88" s="92"/>
      <c r="S88" s="92"/>
      <c r="T88" s="92"/>
      <c r="U88" s="92"/>
      <c r="V88" s="92"/>
    </row>
    <row r="89" spans="1:22">
      <c r="A89" s="23">
        <f t="shared" si="54"/>
        <v>89</v>
      </c>
      <c r="B89" s="191" t="s">
        <v>259</v>
      </c>
      <c r="C89" s="233"/>
      <c r="D89" s="144" t="s">
        <v>220</v>
      </c>
      <c r="E89" s="165"/>
      <c r="F89" s="165"/>
      <c r="G89" s="165"/>
      <c r="H89" s="165"/>
      <c r="I89" s="114">
        <f>SUM(I44:I63)</f>
        <v>17385.129999999997</v>
      </c>
      <c r="J89" s="114">
        <f>SUM(J44:J63)</f>
        <v>17385.129999999997</v>
      </c>
      <c r="K89" s="114">
        <f>SUM(K44:K63)</f>
        <v>17385.129999999997</v>
      </c>
      <c r="L89" s="114">
        <f>SUM(L44:L63)</f>
        <v>17385.129999999997</v>
      </c>
      <c r="M89" s="114">
        <f>SUM(M44:M63)-M37</f>
        <v>17385.129920715168</v>
      </c>
      <c r="N89" s="114">
        <f>SUM(N44:N63)-N37</f>
        <v>17385.129999999997</v>
      </c>
      <c r="O89" s="114">
        <f>SUM(O44:O63)-O37</f>
        <v>17592.024357181734</v>
      </c>
      <c r="P89" s="111">
        <f t="shared" si="53"/>
        <v>121902.80427789691</v>
      </c>
      <c r="Q89" s="92"/>
      <c r="R89" s="92"/>
      <c r="S89" s="92"/>
      <c r="T89" s="92"/>
      <c r="U89" s="92"/>
      <c r="V89" s="92"/>
    </row>
    <row r="90" spans="1:22">
      <c r="A90" s="23">
        <f t="shared" si="54"/>
        <v>90</v>
      </c>
      <c r="B90" s="191" t="s">
        <v>193</v>
      </c>
      <c r="C90" s="230"/>
      <c r="D90" s="222">
        <f>D81</f>
        <v>887.86000000000013</v>
      </c>
      <c r="E90" s="114">
        <f t="shared" ref="E90:O90" si="59">E81</f>
        <v>961.93000000000006</v>
      </c>
      <c r="F90" s="114">
        <f t="shared" si="59"/>
        <v>961.93000000000006</v>
      </c>
      <c r="G90" s="114">
        <f t="shared" si="59"/>
        <v>961.93000000000006</v>
      </c>
      <c r="H90" s="114">
        <f t="shared" si="59"/>
        <v>961.93000000000006</v>
      </c>
      <c r="I90" s="114">
        <f t="shared" si="59"/>
        <v>961.93000000000006</v>
      </c>
      <c r="J90" s="114">
        <f t="shared" si="59"/>
        <v>961.93000000000006</v>
      </c>
      <c r="K90" s="114">
        <f t="shared" si="59"/>
        <v>961.93000000000006</v>
      </c>
      <c r="L90" s="114">
        <f t="shared" si="59"/>
        <v>961.93000000000006</v>
      </c>
      <c r="M90" s="114">
        <f t="shared" si="59"/>
        <v>961.93000005766453</v>
      </c>
      <c r="N90" s="114">
        <f t="shared" si="59"/>
        <v>961.93000000000006</v>
      </c>
      <c r="O90" s="114">
        <f t="shared" si="59"/>
        <v>973.46288909585735</v>
      </c>
      <c r="P90" s="111">
        <f t="shared" ref="P90:P99" si="60">SUM(D90:O90)</f>
        <v>11480.622889153523</v>
      </c>
      <c r="Q90" s="92"/>
      <c r="R90" s="92"/>
      <c r="S90" s="92"/>
      <c r="T90" s="92"/>
      <c r="U90" s="92"/>
      <c r="V90" s="92"/>
    </row>
    <row r="91" spans="1:22">
      <c r="A91" s="23">
        <f t="shared" si="54"/>
        <v>91</v>
      </c>
      <c r="B91" s="191" t="s">
        <v>197</v>
      </c>
      <c r="C91" s="230"/>
      <c r="D91" s="222">
        <f>D90*2</f>
        <v>1775.7200000000003</v>
      </c>
      <c r="E91" s="114">
        <f t="shared" ref="E91:O91" si="61">E90*2</f>
        <v>1923.8600000000001</v>
      </c>
      <c r="F91" s="114">
        <f t="shared" si="61"/>
        <v>1923.8600000000001</v>
      </c>
      <c r="G91" s="114">
        <f t="shared" si="61"/>
        <v>1923.8600000000001</v>
      </c>
      <c r="H91" s="114">
        <f t="shared" si="61"/>
        <v>1923.8600000000001</v>
      </c>
      <c r="I91" s="114">
        <f t="shared" si="61"/>
        <v>1923.8600000000001</v>
      </c>
      <c r="J91" s="114">
        <f t="shared" si="61"/>
        <v>1923.8600000000001</v>
      </c>
      <c r="K91" s="114">
        <f t="shared" si="61"/>
        <v>1923.8600000000001</v>
      </c>
      <c r="L91" s="114">
        <f t="shared" si="61"/>
        <v>1923.8600000000001</v>
      </c>
      <c r="M91" s="114">
        <f t="shared" si="61"/>
        <v>1923.8600001153291</v>
      </c>
      <c r="N91" s="114">
        <f t="shared" si="61"/>
        <v>1923.8600000000001</v>
      </c>
      <c r="O91" s="114">
        <f t="shared" si="61"/>
        <v>1946.9257781917147</v>
      </c>
      <c r="P91" s="111">
        <f t="shared" si="60"/>
        <v>22961.245778307046</v>
      </c>
      <c r="Q91" s="92"/>
      <c r="R91" s="92"/>
      <c r="S91" s="92"/>
      <c r="T91" s="92"/>
      <c r="U91" s="92"/>
      <c r="V91" s="92"/>
    </row>
    <row r="92" spans="1:22">
      <c r="A92" s="23">
        <f t="shared" si="54"/>
        <v>92</v>
      </c>
      <c r="B92" s="191" t="s">
        <v>46</v>
      </c>
      <c r="C92" s="230"/>
      <c r="D92" s="222">
        <f>D94*2/3</f>
        <v>76.8</v>
      </c>
      <c r="E92" s="114">
        <f t="shared" ref="E92:O92" si="62">E94*2/3</f>
        <v>76.8</v>
      </c>
      <c r="F92" s="114">
        <f t="shared" si="62"/>
        <v>76.8</v>
      </c>
      <c r="G92" s="114">
        <f t="shared" si="62"/>
        <v>76.8</v>
      </c>
      <c r="H92" s="114">
        <f t="shared" si="62"/>
        <v>76.8</v>
      </c>
      <c r="I92" s="114">
        <f t="shared" si="62"/>
        <v>120</v>
      </c>
      <c r="J92" s="114">
        <f t="shared" si="62"/>
        <v>120</v>
      </c>
      <c r="K92" s="114">
        <f t="shared" si="62"/>
        <v>120</v>
      </c>
      <c r="L92" s="114">
        <f t="shared" si="62"/>
        <v>120</v>
      </c>
      <c r="M92" s="114">
        <f t="shared" si="62"/>
        <v>120</v>
      </c>
      <c r="N92" s="114">
        <f t="shared" si="62"/>
        <v>120</v>
      </c>
      <c r="O92" s="114">
        <f t="shared" si="62"/>
        <v>120</v>
      </c>
      <c r="P92" s="111">
        <f t="shared" si="60"/>
        <v>1224</v>
      </c>
      <c r="Q92" s="92"/>
      <c r="R92" s="92"/>
      <c r="S92" s="92"/>
      <c r="T92" s="92"/>
      <c r="U92" s="92"/>
      <c r="V92" s="92"/>
    </row>
    <row r="93" spans="1:22">
      <c r="A93" s="23">
        <f t="shared" si="54"/>
        <v>93</v>
      </c>
      <c r="B93" s="191" t="s">
        <v>120</v>
      </c>
      <c r="C93" s="230"/>
      <c r="D93" s="222">
        <f>D90+D91</f>
        <v>2663.5800000000004</v>
      </c>
      <c r="E93" s="114">
        <f t="shared" ref="E93:O93" si="63">E90+E91</f>
        <v>2885.79</v>
      </c>
      <c r="F93" s="114">
        <f t="shared" si="63"/>
        <v>2885.79</v>
      </c>
      <c r="G93" s="114">
        <f t="shared" si="63"/>
        <v>2885.79</v>
      </c>
      <c r="H93" s="114">
        <f t="shared" si="63"/>
        <v>2885.79</v>
      </c>
      <c r="I93" s="114">
        <f t="shared" si="63"/>
        <v>2885.79</v>
      </c>
      <c r="J93" s="114">
        <f t="shared" si="63"/>
        <v>2885.79</v>
      </c>
      <c r="K93" s="114">
        <f t="shared" si="63"/>
        <v>2885.79</v>
      </c>
      <c r="L93" s="114">
        <f t="shared" si="63"/>
        <v>2885.79</v>
      </c>
      <c r="M93" s="114">
        <f t="shared" si="63"/>
        <v>2885.7900001729936</v>
      </c>
      <c r="N93" s="114">
        <f t="shared" si="63"/>
        <v>2885.79</v>
      </c>
      <c r="O93" s="114">
        <f t="shared" si="63"/>
        <v>2920.3886672875719</v>
      </c>
      <c r="P93" s="111">
        <f t="shared" si="60"/>
        <v>34441.868667460571</v>
      </c>
      <c r="Q93" s="92"/>
      <c r="R93" s="92"/>
      <c r="S93" s="92"/>
      <c r="T93" s="92"/>
      <c r="U93" s="92"/>
      <c r="V93" s="92"/>
    </row>
    <row r="94" spans="1:22">
      <c r="A94" s="23">
        <f t="shared" si="54"/>
        <v>94</v>
      </c>
      <c r="B94" s="191" t="s">
        <v>121</v>
      </c>
      <c r="C94" s="230"/>
      <c r="D94" s="222">
        <f>57.6*(((D9*D3)&gt;=9/37)+((D9*D3)&gt;=18/37)+((D9*D3)&gt;=27/37))</f>
        <v>115.2</v>
      </c>
      <c r="E94" s="114">
        <f>57.6*(((E9*E3)&gt;=9/37)+((E9*E3)&gt;=18/37)+((E9*E3)&gt;=27/37))</f>
        <v>115.2</v>
      </c>
      <c r="F94" s="114">
        <f>57.6*(((F9*F3)&gt;=9/37)+((F9*F3)&gt;=18/37)+((F9*F3)&gt;=27/37))</f>
        <v>115.2</v>
      </c>
      <c r="G94" s="114">
        <f>57.6*(((G9*G3)&gt;=9/37)+((G9*G3)&gt;=18/37)+((G9*G3)&gt;=27/37))</f>
        <v>115.2</v>
      </c>
      <c r="H94" s="114">
        <f>57.6*(((H9*H3)&gt;=9/37)+((H9*H3)&gt;=18/37)+((H9*H3)&gt;=27/37))</f>
        <v>115.2</v>
      </c>
      <c r="I94" s="114">
        <f>90*(((I9*I3)&gt;=9/37)+((I9*I3)&gt;=18/37)+((I9*I3)&gt;=27/37))</f>
        <v>180</v>
      </c>
      <c r="J94" s="114">
        <f t="shared" ref="J94:O94" si="64">90*(((J9*J3)&gt;=9/37)+((J9*J3)&gt;=18/37)+((J9*J3)&gt;=27/37))</f>
        <v>180</v>
      </c>
      <c r="K94" s="114">
        <f t="shared" si="64"/>
        <v>180</v>
      </c>
      <c r="L94" s="114">
        <f t="shared" si="64"/>
        <v>180</v>
      </c>
      <c r="M94" s="114">
        <f t="shared" si="64"/>
        <v>180</v>
      </c>
      <c r="N94" s="114">
        <f t="shared" si="64"/>
        <v>180</v>
      </c>
      <c r="O94" s="114">
        <f t="shared" si="64"/>
        <v>180</v>
      </c>
      <c r="P94" s="111">
        <f t="shared" si="60"/>
        <v>1836</v>
      </c>
      <c r="Q94" s="92"/>
      <c r="R94" s="92"/>
      <c r="S94" s="92"/>
      <c r="T94" s="92"/>
      <c r="U94" s="92"/>
      <c r="V94" s="92"/>
    </row>
    <row r="95" spans="1:22">
      <c r="A95" s="23">
        <f t="shared" si="54"/>
        <v>95</v>
      </c>
      <c r="B95" s="191" t="s">
        <v>144</v>
      </c>
      <c r="C95" s="230"/>
      <c r="D95" s="222">
        <f t="shared" ref="D95:O95" si="65">IF(OR(LEFT(D6)="P",LEFT(D6)="E"),VLOOKUP(VALUE(MID(D6,2,2)),Skalalontabel,7,0)*D9/12*15%*MIN(1,D9)*D3,0)</f>
        <v>0</v>
      </c>
      <c r="E95" s="222">
        <f t="shared" si="65"/>
        <v>0</v>
      </c>
      <c r="F95" s="222">
        <f t="shared" si="65"/>
        <v>0</v>
      </c>
      <c r="G95" s="222">
        <f t="shared" si="65"/>
        <v>0</v>
      </c>
      <c r="H95" s="222">
        <f t="shared" si="65"/>
        <v>0</v>
      </c>
      <c r="I95" s="222">
        <f t="shared" si="65"/>
        <v>0</v>
      </c>
      <c r="J95" s="222">
        <f t="shared" si="65"/>
        <v>0</v>
      </c>
      <c r="K95" s="222">
        <f t="shared" si="65"/>
        <v>0</v>
      </c>
      <c r="L95" s="222">
        <f t="shared" si="65"/>
        <v>0</v>
      </c>
      <c r="M95" s="222">
        <f t="shared" si="65"/>
        <v>0</v>
      </c>
      <c r="N95" s="222">
        <f t="shared" si="65"/>
        <v>0</v>
      </c>
      <c r="O95" s="222">
        <f t="shared" si="65"/>
        <v>0</v>
      </c>
      <c r="P95" s="111">
        <f t="shared" si="60"/>
        <v>0</v>
      </c>
      <c r="Q95" s="92"/>
      <c r="R95" s="92"/>
      <c r="S95" s="92"/>
      <c r="T95" s="92"/>
      <c r="U95" s="92"/>
      <c r="V95" s="92"/>
    </row>
    <row r="96" spans="1:22">
      <c r="A96" s="23">
        <f t="shared" si="54"/>
        <v>96</v>
      </c>
      <c r="B96" s="191" t="s">
        <v>104</v>
      </c>
      <c r="C96" s="230"/>
      <c r="D96" s="222">
        <f>108.35*(D9&gt;=0.4054)</f>
        <v>108.35</v>
      </c>
      <c r="E96" s="114">
        <f t="shared" ref="E96:O96" si="66">108.35*(E9&gt;=0.4054)</f>
        <v>108.35</v>
      </c>
      <c r="F96" s="114">
        <f t="shared" si="66"/>
        <v>108.35</v>
      </c>
      <c r="G96" s="114">
        <f t="shared" si="66"/>
        <v>108.35</v>
      </c>
      <c r="H96" s="114">
        <f t="shared" si="66"/>
        <v>108.35</v>
      </c>
      <c r="I96" s="114">
        <f t="shared" si="66"/>
        <v>108.35</v>
      </c>
      <c r="J96" s="114">
        <f t="shared" si="66"/>
        <v>108.35</v>
      </c>
      <c r="K96" s="114">
        <f t="shared" si="66"/>
        <v>108.35</v>
      </c>
      <c r="L96" s="114">
        <f t="shared" si="66"/>
        <v>108.35</v>
      </c>
      <c r="M96" s="114">
        <f t="shared" si="66"/>
        <v>108.35</v>
      </c>
      <c r="N96" s="114">
        <f t="shared" si="66"/>
        <v>108.35</v>
      </c>
      <c r="O96" s="114">
        <f t="shared" si="66"/>
        <v>108.35</v>
      </c>
      <c r="P96" s="111">
        <f t="shared" si="60"/>
        <v>1300.1999999999998</v>
      </c>
      <c r="Q96" s="92"/>
      <c r="R96" s="92"/>
      <c r="S96" s="92"/>
      <c r="T96" s="92"/>
      <c r="U96" s="92"/>
      <c r="V96" s="92"/>
    </row>
    <row r="97" spans="1:22">
      <c r="A97" s="23">
        <f t="shared" si="54"/>
        <v>97</v>
      </c>
      <c r="B97" s="192" t="s">
        <v>228</v>
      </c>
      <c r="C97" s="230"/>
      <c r="D97" s="223">
        <f>D65-(D87+D82+D84+D96)</f>
        <v>9107.414969999998</v>
      </c>
      <c r="E97" s="223">
        <f t="shared" ref="E97:O97" si="67">E65-(E87+E82+E84+E96)</f>
        <v>11247.379999999997</v>
      </c>
      <c r="F97" s="223">
        <f t="shared" si="67"/>
        <v>11247.379999999997</v>
      </c>
      <c r="G97" s="223">
        <f t="shared" si="67"/>
        <v>11247.379999999997</v>
      </c>
      <c r="H97" s="223">
        <f t="shared" si="67"/>
        <v>11247.379999999997</v>
      </c>
      <c r="I97" s="223">
        <f t="shared" si="67"/>
        <v>11394.779999999997</v>
      </c>
      <c r="J97" s="223">
        <f t="shared" si="67"/>
        <v>11394.779999999997</v>
      </c>
      <c r="K97" s="223">
        <f t="shared" si="67"/>
        <v>11394.779999999997</v>
      </c>
      <c r="L97" s="223">
        <f t="shared" si="67"/>
        <v>11394.779999999997</v>
      </c>
      <c r="M97" s="223">
        <f t="shared" si="67"/>
        <v>12835.149920715166</v>
      </c>
      <c r="N97" s="223">
        <f t="shared" si="67"/>
        <v>11394.779999999997</v>
      </c>
      <c r="O97" s="223">
        <f t="shared" si="67"/>
        <v>11506.674357181733</v>
      </c>
      <c r="P97" s="119">
        <f>SUM(C97:O97)</f>
        <v>135412.65924789687</v>
      </c>
      <c r="Q97" s="91"/>
      <c r="R97" s="91"/>
      <c r="S97" s="92"/>
      <c r="T97" s="92"/>
      <c r="U97" s="92"/>
      <c r="V97" s="92"/>
    </row>
    <row r="98" spans="1:22">
      <c r="A98" s="23">
        <f t="shared" si="54"/>
        <v>98</v>
      </c>
      <c r="B98" s="121" t="s">
        <v>260</v>
      </c>
      <c r="C98" s="244">
        <f>Ex09_10!P99</f>
        <v>97643.736828087902</v>
      </c>
      <c r="D98" s="142">
        <f>(SUM(D44:D63)+D81)*(1-12/260*D21)</f>
        <v>10966.942284615383</v>
      </c>
      <c r="E98" s="140">
        <f>(SUM(E44:E63)+E81)*(1-12/260*E21)</f>
        <v>18347.059999999998</v>
      </c>
      <c r="F98" s="140">
        <f>(SUM(F44:F63)+F81)*(1-12/260*F21)</f>
        <v>18347.059999999998</v>
      </c>
      <c r="G98" s="140">
        <f>(SUM(G44:G63)+G81)*(1-12/260*G21)</f>
        <v>18347.059999999998</v>
      </c>
      <c r="H98" s="146">
        <f>(SUM(H44:H63)+H81)*(1-12/260*H21)</f>
        <v>18347.059999999998</v>
      </c>
      <c r="I98" s="143" t="s">
        <v>233</v>
      </c>
      <c r="J98" s="123"/>
      <c r="K98" s="123"/>
      <c r="L98" s="123"/>
      <c r="M98" s="123"/>
      <c r="N98" s="123"/>
      <c r="O98" s="123"/>
      <c r="P98" s="111">
        <f>SUM(C98:H98)</f>
        <v>181998.91911270327</v>
      </c>
      <c r="Q98" s="130"/>
      <c r="R98" s="130"/>
      <c r="S98" s="92"/>
      <c r="T98" s="92"/>
      <c r="U98" s="92"/>
      <c r="V98" s="92"/>
    </row>
    <row r="99" spans="1:22">
      <c r="A99" s="23">
        <f t="shared" si="54"/>
        <v>99</v>
      </c>
      <c r="B99" s="193" t="s">
        <v>261</v>
      </c>
      <c r="C99" s="233"/>
      <c r="D99" s="144" t="s">
        <v>233</v>
      </c>
      <c r="E99" s="139"/>
      <c r="F99" s="139"/>
      <c r="G99" s="139"/>
      <c r="H99" s="141"/>
      <c r="I99" s="142">
        <f>(SUM(I$44:I$63)+I$81)*(1-12/260*I$21)</f>
        <v>18347.059999999998</v>
      </c>
      <c r="J99" s="140">
        <f>(SUM(J$44:J$63)+J$81)*(1-12/260*J$21)</f>
        <v>18347.059999999998</v>
      </c>
      <c r="K99" s="140">
        <f>(SUM(K$44:K$63)+K$81)*(1-12/260*K$21)</f>
        <v>18347.059999999998</v>
      </c>
      <c r="L99" s="140">
        <f>(SUM(L$44:L$63)+L$81)*(1-12/260*L$21)</f>
        <v>18347.059999999998</v>
      </c>
      <c r="M99" s="140">
        <f>(SUM(M$44:M$63)-M37+M$81)*(1-12/260*M$21)</f>
        <v>18347.059836094097</v>
      </c>
      <c r="N99" s="140">
        <f>(SUM(N$44:N$63)-N37+N$81)*(1-12/260*N$21)</f>
        <v>18347.059999999998</v>
      </c>
      <c r="O99" s="140">
        <f>(SUM(O$44:O$63)-O37+O$81)*(1-12/260*O$21)</f>
        <v>1428.1144035598136</v>
      </c>
      <c r="P99" s="145">
        <f t="shared" si="60"/>
        <v>111510.47423965389</v>
      </c>
      <c r="Q99" s="130"/>
      <c r="R99" s="130"/>
      <c r="S99" s="92"/>
      <c r="T99" s="92"/>
      <c r="U99" s="92"/>
      <c r="V99" s="92"/>
    </row>
    <row r="100" spans="1:22" s="124" customFormat="1">
      <c r="A100" s="23">
        <f t="shared" si="54"/>
        <v>100</v>
      </c>
      <c r="B100" s="136" t="s">
        <v>234</v>
      </c>
      <c r="C100" s="231"/>
      <c r="D100" s="224">
        <f>IF(D9&gt;0,(D44+D45+D52+D53+D54+D55+D56+D57)/D9,0)</f>
        <v>24338.221953432116</v>
      </c>
      <c r="E100" s="137">
        <f t="shared" ref="E100:O100" si="68">IF(E9&gt;0,(E44+E45+E52+E53+E54+E55+E56+E57)/E9,0)</f>
        <v>24338.221953432116</v>
      </c>
      <c r="F100" s="137">
        <f t="shared" si="68"/>
        <v>24338.221953432116</v>
      </c>
      <c r="G100" s="137">
        <f t="shared" si="68"/>
        <v>24338.221953432116</v>
      </c>
      <c r="H100" s="137">
        <f t="shared" si="68"/>
        <v>24338.221953432116</v>
      </c>
      <c r="I100" s="137">
        <f t="shared" si="68"/>
        <v>24338.221953432116</v>
      </c>
      <c r="J100" s="137">
        <f t="shared" si="68"/>
        <v>24338.221953432116</v>
      </c>
      <c r="K100" s="137">
        <f t="shared" si="68"/>
        <v>24338.221953432116</v>
      </c>
      <c r="L100" s="137">
        <f t="shared" si="68"/>
        <v>24338.221953432116</v>
      </c>
      <c r="M100" s="137">
        <f t="shared" si="68"/>
        <v>24338.221953432116</v>
      </c>
      <c r="N100" s="137">
        <f t="shared" si="68"/>
        <v>24338.221953432116</v>
      </c>
      <c r="O100" s="137">
        <f t="shared" si="68"/>
        <v>24338.221953432116</v>
      </c>
      <c r="P100" s="138"/>
      <c r="Q100" s="92"/>
      <c r="R100" s="92"/>
      <c r="S100" s="92"/>
      <c r="T100" s="92"/>
      <c r="U100" s="92"/>
      <c r="V100" s="92"/>
    </row>
    <row r="101" spans="1:22" s="124" customFormat="1" ht="13" thickBot="1">
      <c r="A101" s="23">
        <f>A100+1</f>
        <v>101</v>
      </c>
      <c r="B101" s="124" t="s">
        <v>268</v>
      </c>
      <c r="C101" s="231"/>
      <c r="D101" s="125">
        <f>IF(D9&gt;0,(D66+D73+D74+D76+D77)/D9,0)</f>
        <v>1356.6827940731782</v>
      </c>
      <c r="E101" s="125">
        <f t="shared" ref="E101:O101" si="69">IF(E9&gt;0,(E66+E73+E74+E76+E77)/E9,0)</f>
        <v>1356.6827940731782</v>
      </c>
      <c r="F101" s="125">
        <f t="shared" si="69"/>
        <v>1356.6827940731782</v>
      </c>
      <c r="G101" s="125">
        <f t="shared" si="69"/>
        <v>1356.6827940731782</v>
      </c>
      <c r="H101" s="125">
        <f t="shared" si="69"/>
        <v>1356.6827940731782</v>
      </c>
      <c r="I101" s="125">
        <f t="shared" si="69"/>
        <v>1356.6827940731782</v>
      </c>
      <c r="J101" s="125">
        <f t="shared" si="69"/>
        <v>1356.6827940731782</v>
      </c>
      <c r="K101" s="125">
        <f t="shared" si="69"/>
        <v>1356.6827940731782</v>
      </c>
      <c r="L101" s="125">
        <f t="shared" si="69"/>
        <v>1356.6827940731782</v>
      </c>
      <c r="M101" s="125">
        <f t="shared" si="69"/>
        <v>1356.6827940731782</v>
      </c>
      <c r="N101" s="125">
        <f t="shared" si="69"/>
        <v>1356.6827940731782</v>
      </c>
      <c r="O101" s="125">
        <f t="shared" si="69"/>
        <v>1356.6827940731782</v>
      </c>
      <c r="P101" s="126"/>
      <c r="Q101" s="92"/>
      <c r="R101" s="92"/>
      <c r="S101" s="92"/>
      <c r="T101" s="92"/>
      <c r="U101" s="92"/>
      <c r="V101" s="92"/>
    </row>
    <row r="102" spans="1:22" ht="13" thickTop="1">
      <c r="A102" s="132">
        <f>A101+1</f>
        <v>102</v>
      </c>
      <c r="B102" s="133" t="s">
        <v>97</v>
      </c>
      <c r="C102" s="232"/>
      <c r="D102" s="225">
        <f t="shared" ref="D102:K102" si="70">IF(LEFT(D$4)&lt;&gt;"b",IF(D$10&gt;=650,650*ROUND(12.5*D$7,2)/12,D$10*ROUND(12.5*D$7,2)/12),IF(D$10&gt;=750,750*ROUND(17.1*D$7,2)/12,D$10*ROUND(17.1*D$7,2)/12))</f>
        <v>1120.5</v>
      </c>
      <c r="E102" s="157">
        <f t="shared" si="70"/>
        <v>1120.5</v>
      </c>
      <c r="F102" s="157">
        <f t="shared" si="70"/>
        <v>1120.5</v>
      </c>
      <c r="G102" s="157">
        <f t="shared" si="70"/>
        <v>1120.5</v>
      </c>
      <c r="H102" s="157">
        <f t="shared" si="70"/>
        <v>1120.5</v>
      </c>
      <c r="I102" s="157">
        <f t="shared" si="70"/>
        <v>1120.5</v>
      </c>
      <c r="J102" s="157">
        <f t="shared" si="70"/>
        <v>1120.5</v>
      </c>
      <c r="K102" s="157">
        <f t="shared" si="70"/>
        <v>1120.5</v>
      </c>
      <c r="L102" s="157">
        <f>IF(LEFT(L$4)&lt;&gt;"b",IF(L$10&gt;=650,650*ROUND(12.5*L$7,2)/12,L$10*ROUND(12.5*L$7,2)/12),IF(L$10&gt;=750,750*ROUND(17.1*L$7,2)/12,L$10*ROUND(17.1*L$7,2)/12))</f>
        <v>1120.5</v>
      </c>
      <c r="M102" s="157">
        <f>IF(LEFT(M$4)&lt;&gt;"b",IF(M$10&gt;=650,650*ROUND(12.5*M$7,2)/12,M$10*ROUND(12.5*M$7,2)/12),IF(M$10&gt;=750,750*ROUND(17.1*M$7,2)/12,M$10*ROUND(17.1*M$7,2)/12))</f>
        <v>1120.5</v>
      </c>
      <c r="N102" s="157">
        <f>IF(LEFT(N$4)&lt;&gt;"b",IF(N$10&gt;=650,650*ROUND(12.5*N$7,2)/12,N$10*ROUND(12.5*N$7,2)/12),IF(N$10&gt;=750,750*ROUND(17.1*N$7,2)/12,N$10*ROUND(17.1*N$7,2)/12))</f>
        <v>1120.5</v>
      </c>
      <c r="O102" s="157">
        <f>IF(LEFT(O$4)&lt;&gt;"b",IF(O$10&gt;=650,650*ROUND(12.5*O$7,2)/12,O$10*ROUND(12.5*O$7,2)/12),IF(O$10&gt;=750,750*ROUND(17.1*O$7,2)/12,O$10*ROUND(17.1*O$7,2)/12))</f>
        <v>1120.5</v>
      </c>
      <c r="P102" s="134" t="s">
        <v>199</v>
      </c>
      <c r="Q102" s="92"/>
      <c r="R102" s="92"/>
      <c r="S102" s="92"/>
      <c r="T102" s="92"/>
      <c r="U102" s="92"/>
      <c r="V102" s="92"/>
    </row>
    <row r="103" spans="1:22">
      <c r="A103" s="23">
        <f>A102+1</f>
        <v>103</v>
      </c>
      <c r="B103" s="194" t="s">
        <v>98</v>
      </c>
      <c r="C103" s="232"/>
      <c r="D103" s="226">
        <f t="shared" ref="D103:K103" si="71">IF(LEFT(D$4)&lt;&gt;"b",IF(D$10&gt;650,IF(D$10&gt;=700,50*ROUND(75*D$7,2)/12,(D$10-650)*ROUND(75*D$7,2)/12),0),IF(D$10&gt;750,IF(D$10&gt;=800,50*ROUND(50*D$7,2)/12,(D$10-750)*ROUND(50*D$7,2)/12),0))</f>
        <v>0</v>
      </c>
      <c r="E103" s="115">
        <f t="shared" si="71"/>
        <v>0</v>
      </c>
      <c r="F103" s="115">
        <f t="shared" si="71"/>
        <v>0</v>
      </c>
      <c r="G103" s="115">
        <f t="shared" si="71"/>
        <v>0</v>
      </c>
      <c r="H103" s="115">
        <f t="shared" si="71"/>
        <v>0</v>
      </c>
      <c r="I103" s="115">
        <f t="shared" si="71"/>
        <v>0</v>
      </c>
      <c r="J103" s="115">
        <f t="shared" si="71"/>
        <v>0</v>
      </c>
      <c r="K103" s="115">
        <f t="shared" si="71"/>
        <v>0</v>
      </c>
      <c r="L103" s="115">
        <f>IF(LEFT(L$4)&lt;&gt;"b",IF(L$10&gt;650,IF(L$10&gt;=700,50*ROUND(75*L$7,2)/12,(L$10-650)*ROUND(75*L$7,2)/12),0),IF(L$10&gt;750,IF(L$10&gt;=800,50*ROUND(50*L$7,2)/12,(L$10-750)*ROUND(50*L$7,2)/12),0))</f>
        <v>0</v>
      </c>
      <c r="M103" s="115">
        <f>IF(LEFT(M$4)&lt;&gt;"b",IF(M$10&gt;650,IF(M$10&gt;=700,50*ROUND(75*M$7,2)/12,(M$10-650)*ROUND(75*M$7,2)/12),0),IF(M$10&gt;750,IF(M$10&gt;=800,50*ROUND(50*M$7,2)/12,(M$10-750)*ROUND(50*M$7,2)/12),0))</f>
        <v>0</v>
      </c>
      <c r="N103" s="115">
        <f>IF(LEFT(N$4)&lt;&gt;"b",IF(N$10&gt;650,IF(N$10&gt;=700,50*ROUND(75*N$7,2)/12,(N$10-650)*ROUND(75*N$7,2)/12),0),IF(N$10&gt;750,IF(N$10&gt;=800,50*ROUND(50*N$7,2)/12,(N$10-750)*ROUND(50*N$7,2)/12),0))</f>
        <v>0</v>
      </c>
      <c r="O103" s="115">
        <f>IF(LEFT(O$4)&lt;&gt;"b",IF(O$10&gt;650,IF(O$10&gt;=700,50*ROUND(75*O$7,2)/12,(O$10-650)*ROUND(75*O$7,2)/12),0),IF(O$10&gt;750,IF(O$10&gt;=800,50*ROUND(50*O$7,2)/12,(O$10-750)*ROUND(50*O$7,2)/12),0))</f>
        <v>0</v>
      </c>
      <c r="P103" s="116" t="s">
        <v>199</v>
      </c>
      <c r="Q103" s="92"/>
      <c r="R103" s="92"/>
      <c r="S103" s="92"/>
      <c r="T103" s="92"/>
      <c r="U103" s="92"/>
      <c r="V103" s="92"/>
    </row>
    <row r="104" spans="1:22">
      <c r="A104" s="23">
        <f>A103+1</f>
        <v>104</v>
      </c>
      <c r="B104" s="194" t="s">
        <v>179</v>
      </c>
      <c r="C104" s="232"/>
      <c r="D104" s="226">
        <f t="shared" ref="D104:K104" si="72">IF(LEFT(D$4)&lt;&gt;"b",IF(D$10&gt;700,IF(D$10&gt;=750,50*ROUND(100*D$7,2)/12,(D$10-700)*ROUND(100*D$7,2)/12),0),IF(D$10&gt;800,IF(D$10&gt;=835,35*ROUND(100*D$7,2)/12,(D$10-800)*ROUND(100*D$7,2)/12),0))</f>
        <v>0</v>
      </c>
      <c r="E104" s="115">
        <f t="shared" si="72"/>
        <v>0</v>
      </c>
      <c r="F104" s="115">
        <f t="shared" si="72"/>
        <v>0</v>
      </c>
      <c r="G104" s="115">
        <f t="shared" si="72"/>
        <v>0</v>
      </c>
      <c r="H104" s="115">
        <f t="shared" si="72"/>
        <v>0</v>
      </c>
      <c r="I104" s="115">
        <f t="shared" si="72"/>
        <v>0</v>
      </c>
      <c r="J104" s="115">
        <f t="shared" si="72"/>
        <v>0</v>
      </c>
      <c r="K104" s="115">
        <f t="shared" si="72"/>
        <v>0</v>
      </c>
      <c r="L104" s="115">
        <f>IF(LEFT(L$4)&lt;&gt;"b",IF(L$10&gt;700,IF(L$10&gt;=750,50*ROUND(100*L$7,2)/12,(L$10-700)*ROUND(100*L$7,2)/12),0),IF(L$10&gt;800,IF(L$10&gt;=835,35*ROUND(100*L$7,2)/12,(L$10-800)*ROUND(100*L$7,2)/12),0))</f>
        <v>0</v>
      </c>
      <c r="M104" s="115">
        <f>IF(LEFT(M$4)&lt;&gt;"b",IF(M$10&gt;700,IF(M$10&gt;=750,50*ROUND(100*M$7,2)/12,(M$10-700)*ROUND(100*M$7,2)/12),0),IF(M$10&gt;800,IF(M$10&gt;=835,35*ROUND(100*M$7,2)/12,(M$10-800)*ROUND(100*M$7,2)/12),0))</f>
        <v>0</v>
      </c>
      <c r="N104" s="115">
        <f>IF(LEFT(N$4)&lt;&gt;"b",IF(N$10&gt;700,IF(N$10&gt;=750,50*ROUND(100*N$7,2)/12,(N$10-700)*ROUND(100*N$7,2)/12),0),IF(N$10&gt;800,IF(N$10&gt;=835,35*ROUND(100*N$7,2)/12,(N$10-800)*ROUND(100*N$7,2)/12),0))</f>
        <v>0</v>
      </c>
      <c r="O104" s="115">
        <f>IF(LEFT(O$4)&lt;&gt;"b",IF(O$10&gt;700,IF(O$10&gt;=750,50*ROUND(100*O$7,2)/12,(O$10-700)*ROUND(100*O$7,2)/12),0),IF(O$10&gt;800,IF(O$10&gt;=835,35*ROUND(100*O$7,2)/12,(O$10-800)*ROUND(100*O$7,2)/12),0))</f>
        <v>0</v>
      </c>
      <c r="P104" s="116" t="s">
        <v>199</v>
      </c>
      <c r="Q104" s="92"/>
      <c r="R104" s="92"/>
      <c r="S104" s="92"/>
      <c r="T104" s="92"/>
      <c r="U104" s="92"/>
      <c r="V104" s="92"/>
    </row>
    <row r="105" spans="1:22">
      <c r="A105" s="23">
        <f>A104+1</f>
        <v>105</v>
      </c>
      <c r="B105" s="195" t="s">
        <v>180</v>
      </c>
      <c r="C105" s="232"/>
      <c r="D105" s="227">
        <f t="shared" ref="D105:K105" si="73">IF(LEFT(D$4)&lt;&gt;"b",IF(D$10&gt;750,(D$10-750)*ROUND(125*D$7,2)/12,0),IF(D$10&gt;835,(D$10-835)*ROUND(125*D$7,2)/12,0))</f>
        <v>0</v>
      </c>
      <c r="E105" s="117">
        <f t="shared" si="73"/>
        <v>0</v>
      </c>
      <c r="F105" s="117">
        <f t="shared" si="73"/>
        <v>0</v>
      </c>
      <c r="G105" s="117">
        <f t="shared" si="73"/>
        <v>0</v>
      </c>
      <c r="H105" s="117">
        <f t="shared" si="73"/>
        <v>0</v>
      </c>
      <c r="I105" s="117">
        <f t="shared" si="73"/>
        <v>0</v>
      </c>
      <c r="J105" s="117">
        <f t="shared" si="73"/>
        <v>0</v>
      </c>
      <c r="K105" s="117">
        <f t="shared" si="73"/>
        <v>0</v>
      </c>
      <c r="L105" s="117">
        <f>IF(LEFT(L$4)&lt;&gt;"b",IF(L$10&gt;750,(L$10-750)*ROUND(125*L$7,2)/12,0),IF(L$10&gt;835,(L$10-835)*ROUND(125*L$7,2)/12,0))</f>
        <v>0</v>
      </c>
      <c r="M105" s="117">
        <f>IF(LEFT(M$4)&lt;&gt;"b",IF(M$10&gt;750,(M$10-750)*ROUND(125*M$7,2)/12,0),IF(M$10&gt;835,(M$10-835)*ROUND(125*M$7,2)/12,0))</f>
        <v>0</v>
      </c>
      <c r="N105" s="117">
        <f>IF(LEFT(N$4)&lt;&gt;"b",IF(N$10&gt;750,(N$10-750)*ROUND(125*N$7,2)/12,0),IF(N$10&gt;835,(N$10-835)*ROUND(125*N$7,2)/12,0))</f>
        <v>0</v>
      </c>
      <c r="O105" s="117">
        <f>IF(LEFT(O$4)&lt;&gt;"b",IF(O$10&gt;750,(O$10-750)*ROUND(125*O$7,2)/12,0),IF(O$10&gt;835,(O$10-835)*ROUND(125*O$7,2)/12,0))</f>
        <v>0</v>
      </c>
      <c r="P105" s="118" t="s">
        <v>199</v>
      </c>
      <c r="Q105" s="92"/>
      <c r="R105" s="92"/>
      <c r="S105" s="92"/>
      <c r="T105" s="92"/>
      <c r="U105" s="92"/>
      <c r="V105" s="92"/>
    </row>
    <row r="106" spans="1:22">
      <c r="C106" s="245"/>
      <c r="Q106" s="92"/>
      <c r="R106" s="92"/>
      <c r="S106" s="92"/>
      <c r="T106" s="92"/>
      <c r="U106" s="92"/>
      <c r="V106" s="92"/>
    </row>
    <row r="107" spans="1:22" s="127" customFormat="1">
      <c r="A107" s="91"/>
      <c r="B107" s="92"/>
      <c r="C107" s="92"/>
      <c r="D107" s="120"/>
      <c r="E107" s="120"/>
      <c r="F107" s="120"/>
      <c r="G107" s="120"/>
      <c r="H107" s="120"/>
      <c r="I107" s="120"/>
      <c r="J107" s="120"/>
      <c r="K107" s="120"/>
      <c r="L107" s="120"/>
      <c r="M107" s="120"/>
      <c r="N107" s="120"/>
      <c r="O107" s="120"/>
      <c r="P107" s="90"/>
      <c r="Q107" s="92"/>
      <c r="R107" s="92"/>
      <c r="S107" s="92"/>
      <c r="T107" s="92"/>
      <c r="U107" s="92"/>
      <c r="V107" s="92"/>
    </row>
    <row r="108" spans="1:22" s="127" customFormat="1">
      <c r="A108" s="91"/>
      <c r="B108" s="92"/>
      <c r="C108" s="92"/>
      <c r="D108" s="120"/>
      <c r="E108" s="93"/>
      <c r="F108" s="93"/>
      <c r="G108" s="93"/>
      <c r="H108" s="93"/>
      <c r="I108" s="93"/>
      <c r="J108" s="93"/>
      <c r="K108" s="93"/>
      <c r="L108" s="93"/>
      <c r="M108" s="93"/>
      <c r="N108" s="93"/>
      <c r="O108" s="93"/>
      <c r="P108" s="90"/>
      <c r="Q108" s="92"/>
      <c r="R108" s="92"/>
      <c r="S108" s="92"/>
      <c r="T108" s="92"/>
      <c r="U108" s="92"/>
      <c r="V108" s="92"/>
    </row>
    <row r="109" spans="1:22" s="127" customFormat="1">
      <c r="A109" s="91"/>
      <c r="B109" s="92"/>
      <c r="C109" s="92"/>
      <c r="D109" s="93"/>
      <c r="E109" s="93"/>
      <c r="F109" s="93"/>
      <c r="G109" s="93"/>
      <c r="H109" s="93"/>
      <c r="I109" s="93"/>
      <c r="J109" s="93"/>
      <c r="K109" s="93"/>
      <c r="L109" s="93"/>
      <c r="M109" s="93"/>
      <c r="N109" s="93"/>
      <c r="O109" s="93"/>
      <c r="P109" s="90"/>
      <c r="Q109" s="92"/>
      <c r="R109" s="92"/>
      <c r="S109" s="92"/>
      <c r="T109" s="92"/>
      <c r="U109" s="92"/>
      <c r="V109" s="92"/>
    </row>
    <row r="110" spans="1:22" s="127" customFormat="1">
      <c r="A110" s="91"/>
      <c r="B110" s="92"/>
      <c r="C110" s="92"/>
      <c r="D110" s="93"/>
      <c r="E110" s="93"/>
      <c r="F110" s="93"/>
      <c r="G110" s="93"/>
      <c r="H110" s="93"/>
      <c r="I110" s="93"/>
      <c r="J110" s="93"/>
      <c r="K110" s="93"/>
      <c r="L110" s="93"/>
      <c r="M110" s="93"/>
      <c r="N110" s="93"/>
      <c r="O110" s="93"/>
      <c r="P110" s="90"/>
      <c r="Q110" s="92"/>
      <c r="R110" s="92"/>
      <c r="S110" s="92"/>
      <c r="T110" s="92"/>
      <c r="U110" s="92"/>
      <c r="V110" s="92"/>
    </row>
    <row r="111" spans="1:22" s="127" customFormat="1">
      <c r="A111" s="91"/>
      <c r="B111" s="92"/>
      <c r="C111" s="92"/>
      <c r="D111" s="93"/>
      <c r="E111" s="93"/>
      <c r="F111" s="93"/>
      <c r="G111" s="93"/>
      <c r="H111" s="93"/>
      <c r="I111" s="93"/>
      <c r="J111" s="93"/>
      <c r="K111" s="93"/>
      <c r="L111" s="93"/>
      <c r="M111" s="93"/>
      <c r="N111" s="93"/>
      <c r="O111" s="93"/>
      <c r="P111" s="90"/>
      <c r="Q111" s="92"/>
      <c r="R111" s="92"/>
      <c r="S111" s="92"/>
      <c r="T111" s="92"/>
      <c r="U111" s="92"/>
      <c r="V111" s="92"/>
    </row>
    <row r="112" spans="1:22">
      <c r="A112" s="85"/>
      <c r="B112" s="86"/>
      <c r="C112" s="86"/>
      <c r="D112" s="87"/>
      <c r="E112" s="87"/>
      <c r="F112" s="87"/>
      <c r="G112" s="87"/>
      <c r="H112" s="87"/>
      <c r="I112" s="87"/>
      <c r="J112" s="87"/>
      <c r="K112" s="87"/>
      <c r="L112" s="87"/>
      <c r="M112" s="87"/>
      <c r="N112" s="87"/>
      <c r="O112" s="87"/>
      <c r="P112" s="88"/>
    </row>
    <row r="113" spans="1:16">
      <c r="A113" s="85"/>
      <c r="B113" s="86"/>
      <c r="C113" s="86"/>
      <c r="D113" s="87"/>
      <c r="E113" s="87"/>
      <c r="F113" s="87"/>
      <c r="G113" s="87"/>
      <c r="H113" s="87"/>
      <c r="I113" s="87"/>
      <c r="J113" s="87"/>
      <c r="K113" s="87"/>
      <c r="L113" s="87"/>
      <c r="M113" s="87"/>
      <c r="N113" s="87"/>
      <c r="O113" s="87"/>
      <c r="P113" s="88"/>
    </row>
    <row r="114" spans="1:16">
      <c r="A114" s="85"/>
      <c r="B114" s="86"/>
      <c r="C114" s="86"/>
      <c r="D114" s="87"/>
      <c r="E114" s="87"/>
      <c r="F114" s="87"/>
      <c r="G114" s="87"/>
      <c r="H114" s="87"/>
      <c r="I114" s="87"/>
      <c r="J114" s="87"/>
      <c r="K114" s="87"/>
      <c r="L114" s="87"/>
      <c r="M114" s="87"/>
      <c r="N114" s="87"/>
      <c r="O114" s="87"/>
      <c r="P114" s="88"/>
    </row>
    <row r="115" spans="1:16">
      <c r="A115" s="85"/>
      <c r="B115" s="86"/>
      <c r="C115" s="86"/>
      <c r="D115" s="87"/>
      <c r="E115" s="87"/>
      <c r="F115" s="87"/>
      <c r="G115" s="87"/>
      <c r="H115" s="87"/>
      <c r="I115" s="87"/>
      <c r="J115" s="87"/>
      <c r="K115" s="87"/>
      <c r="L115" s="87"/>
      <c r="M115" s="87"/>
      <c r="N115" s="87"/>
      <c r="O115" s="87"/>
      <c r="P115" s="88"/>
    </row>
    <row r="116" spans="1:16">
      <c r="A116" s="85"/>
      <c r="B116" s="86"/>
      <c r="C116" s="86"/>
      <c r="D116" s="87"/>
      <c r="E116" s="87"/>
      <c r="F116" s="87"/>
      <c r="G116" s="87"/>
      <c r="H116" s="87"/>
      <c r="I116" s="87"/>
      <c r="J116" s="87"/>
      <c r="K116" s="87"/>
      <c r="L116" s="87"/>
      <c r="M116" s="87"/>
      <c r="N116" s="87"/>
      <c r="O116" s="87"/>
      <c r="P116" s="88"/>
    </row>
    <row r="117" spans="1:16">
      <c r="A117" s="85"/>
      <c r="B117" s="86"/>
      <c r="C117" s="86"/>
      <c r="D117" s="87"/>
      <c r="E117" s="87"/>
      <c r="F117" s="87"/>
      <c r="G117" s="87"/>
      <c r="H117" s="87"/>
      <c r="I117" s="87"/>
      <c r="J117" s="87"/>
      <c r="K117" s="87"/>
      <c r="L117" s="87"/>
      <c r="M117" s="87"/>
      <c r="N117" s="87"/>
      <c r="O117" s="87"/>
      <c r="P117" s="88"/>
    </row>
    <row r="118" spans="1:16">
      <c r="A118" s="85"/>
      <c r="B118" s="86"/>
      <c r="C118" s="86"/>
      <c r="D118" s="87"/>
      <c r="E118" s="87"/>
      <c r="F118" s="87"/>
      <c r="G118" s="87"/>
      <c r="H118" s="87"/>
      <c r="I118" s="87"/>
      <c r="J118" s="87"/>
      <c r="K118" s="87"/>
      <c r="L118" s="87"/>
      <c r="M118" s="87"/>
      <c r="N118" s="87"/>
      <c r="O118" s="87"/>
      <c r="P118" s="88"/>
    </row>
    <row r="119" spans="1:16">
      <c r="A119" s="85"/>
      <c r="B119" s="86"/>
      <c r="C119" s="86"/>
      <c r="D119" s="87"/>
      <c r="E119" s="87"/>
      <c r="F119" s="87"/>
      <c r="G119" s="87"/>
      <c r="H119" s="87"/>
      <c r="I119" s="87"/>
      <c r="J119" s="87"/>
      <c r="K119" s="87"/>
      <c r="L119" s="87"/>
      <c r="M119" s="87"/>
      <c r="N119" s="87"/>
      <c r="O119" s="87"/>
      <c r="P119" s="88"/>
    </row>
    <row r="120" spans="1:16">
      <c r="A120" s="85"/>
      <c r="B120" s="86"/>
      <c r="C120" s="86"/>
      <c r="D120" s="87"/>
      <c r="E120" s="87"/>
      <c r="F120" s="87"/>
      <c r="G120" s="87"/>
      <c r="H120" s="87"/>
      <c r="I120" s="87"/>
      <c r="J120" s="87"/>
      <c r="K120" s="87"/>
      <c r="L120" s="87"/>
      <c r="M120" s="87"/>
      <c r="N120" s="87"/>
      <c r="O120" s="87"/>
      <c r="P120" s="88"/>
    </row>
    <row r="121" spans="1:16">
      <c r="A121" s="85"/>
      <c r="B121" s="86"/>
      <c r="C121" s="86"/>
      <c r="D121" s="87"/>
      <c r="E121" s="87"/>
      <c r="F121" s="87"/>
      <c r="G121" s="87"/>
      <c r="H121" s="87"/>
      <c r="I121" s="87"/>
      <c r="J121" s="87"/>
      <c r="K121" s="87"/>
      <c r="L121" s="87"/>
      <c r="M121" s="87"/>
      <c r="N121" s="87"/>
      <c r="O121" s="87"/>
      <c r="P121" s="88"/>
    </row>
    <row r="122" spans="1:16">
      <c r="A122" s="85"/>
      <c r="B122" s="86"/>
      <c r="C122" s="86"/>
      <c r="D122" s="87"/>
      <c r="E122" s="87"/>
      <c r="F122" s="87"/>
      <c r="G122" s="87"/>
      <c r="H122" s="87"/>
      <c r="I122" s="87"/>
      <c r="J122" s="87"/>
      <c r="K122" s="87"/>
      <c r="L122" s="87"/>
      <c r="M122" s="87"/>
      <c r="N122" s="87"/>
      <c r="O122" s="87"/>
      <c r="P122" s="88"/>
    </row>
    <row r="123" spans="1:16">
      <c r="A123" s="85"/>
      <c r="B123" s="86"/>
      <c r="C123" s="86"/>
      <c r="D123" s="87"/>
      <c r="E123" s="87"/>
      <c r="F123" s="87"/>
      <c r="G123" s="87"/>
      <c r="H123" s="87"/>
      <c r="I123" s="87"/>
      <c r="J123" s="87"/>
      <c r="K123" s="87"/>
      <c r="L123" s="87"/>
      <c r="M123" s="87"/>
      <c r="N123" s="87"/>
      <c r="O123" s="87"/>
      <c r="P123" s="88"/>
    </row>
    <row r="124" spans="1:16">
      <c r="A124" s="85"/>
      <c r="B124" s="86"/>
      <c r="C124" s="86"/>
      <c r="D124" s="87"/>
      <c r="E124" s="87"/>
      <c r="F124" s="87"/>
      <c r="G124" s="87"/>
      <c r="H124" s="87"/>
      <c r="I124" s="87"/>
      <c r="J124" s="87"/>
      <c r="K124" s="87"/>
      <c r="L124" s="87"/>
      <c r="M124" s="87"/>
      <c r="N124" s="87"/>
      <c r="O124" s="87"/>
      <c r="P124" s="88"/>
    </row>
    <row r="125" spans="1:16">
      <c r="A125" s="85"/>
      <c r="B125" s="86"/>
      <c r="C125" s="86"/>
      <c r="D125" s="87"/>
      <c r="E125" s="87"/>
      <c r="F125" s="87"/>
      <c r="G125" s="87"/>
      <c r="H125" s="87"/>
      <c r="I125" s="87"/>
      <c r="J125" s="87"/>
      <c r="K125" s="87"/>
      <c r="L125" s="87"/>
      <c r="M125" s="87"/>
      <c r="N125" s="87"/>
      <c r="O125" s="87"/>
      <c r="P125" s="88"/>
    </row>
    <row r="126" spans="1:16">
      <c r="A126" s="85"/>
      <c r="B126" s="86"/>
      <c r="C126" s="86"/>
      <c r="D126" s="87"/>
      <c r="E126" s="87"/>
      <c r="F126" s="87"/>
      <c r="G126" s="87"/>
      <c r="H126" s="87"/>
      <c r="I126" s="87"/>
      <c r="J126" s="87"/>
      <c r="K126" s="87"/>
      <c r="L126" s="87"/>
      <c r="M126" s="87"/>
      <c r="N126" s="87"/>
      <c r="O126" s="87"/>
      <c r="P126" s="88"/>
    </row>
    <row r="127" spans="1:16">
      <c r="A127" s="85"/>
      <c r="B127" s="86"/>
      <c r="C127" s="86"/>
      <c r="D127" s="87"/>
      <c r="E127" s="87"/>
      <c r="F127" s="87"/>
      <c r="G127" s="87"/>
      <c r="H127" s="87"/>
      <c r="I127" s="87"/>
      <c r="J127" s="87"/>
      <c r="K127" s="87"/>
      <c r="L127" s="87"/>
      <c r="M127" s="87"/>
      <c r="N127" s="87"/>
      <c r="O127" s="87"/>
      <c r="P127" s="88"/>
    </row>
    <row r="128" spans="1:16">
      <c r="A128" s="85"/>
      <c r="B128" s="86"/>
      <c r="C128" s="86"/>
      <c r="D128" s="87"/>
      <c r="E128" s="87"/>
      <c r="F128" s="87"/>
      <c r="G128" s="87"/>
      <c r="H128" s="87"/>
      <c r="I128" s="87"/>
      <c r="J128" s="87"/>
      <c r="K128" s="87"/>
      <c r="L128" s="87"/>
      <c r="M128" s="87"/>
      <c r="N128" s="87"/>
      <c r="O128" s="87"/>
      <c r="P128" s="88"/>
    </row>
    <row r="129" spans="1:16">
      <c r="A129" s="85"/>
      <c r="B129" s="86"/>
      <c r="C129" s="86"/>
      <c r="D129" s="87"/>
      <c r="E129" s="87"/>
      <c r="F129" s="87"/>
      <c r="G129" s="87"/>
      <c r="H129" s="87"/>
      <c r="I129" s="87"/>
      <c r="J129" s="87"/>
      <c r="K129" s="87"/>
      <c r="L129" s="87"/>
      <c r="M129" s="87"/>
      <c r="N129" s="87"/>
      <c r="O129" s="87"/>
      <c r="P129" s="88"/>
    </row>
    <row r="130" spans="1:16">
      <c r="A130" s="85"/>
      <c r="B130" s="86"/>
      <c r="C130" s="86"/>
      <c r="D130" s="87"/>
      <c r="E130" s="87"/>
      <c r="F130" s="87"/>
      <c r="G130" s="87"/>
      <c r="H130" s="87"/>
      <c r="I130" s="87"/>
      <c r="J130" s="87"/>
      <c r="K130" s="87"/>
      <c r="L130" s="87"/>
      <c r="M130" s="87"/>
      <c r="N130" s="87"/>
      <c r="O130" s="87"/>
      <c r="P130" s="88"/>
    </row>
    <row r="131" spans="1:16">
      <c r="A131" s="85"/>
      <c r="B131" s="86"/>
      <c r="C131" s="86"/>
      <c r="D131" s="87"/>
      <c r="E131" s="87"/>
      <c r="F131" s="87"/>
      <c r="G131" s="87"/>
      <c r="H131" s="87"/>
      <c r="I131" s="87"/>
      <c r="J131" s="87"/>
      <c r="K131" s="87"/>
      <c r="L131" s="87"/>
      <c r="M131" s="87"/>
      <c r="N131" s="87"/>
      <c r="O131" s="87"/>
      <c r="P131" s="88"/>
    </row>
    <row r="132" spans="1:16">
      <c r="A132" s="85"/>
      <c r="B132" s="86"/>
      <c r="C132" s="86"/>
      <c r="D132" s="87"/>
      <c r="E132" s="87"/>
      <c r="F132" s="87"/>
      <c r="G132" s="87"/>
      <c r="H132" s="87"/>
      <c r="I132" s="87"/>
      <c r="J132" s="87"/>
      <c r="K132" s="87"/>
      <c r="L132" s="87"/>
      <c r="M132" s="87"/>
      <c r="N132" s="87"/>
      <c r="O132" s="87"/>
      <c r="P132" s="88"/>
    </row>
    <row r="133" spans="1:16">
      <c r="A133" s="85"/>
      <c r="B133" s="86"/>
      <c r="C133" s="86"/>
      <c r="D133" s="87"/>
      <c r="E133" s="87"/>
      <c r="F133" s="87"/>
      <c r="G133" s="87"/>
      <c r="H133" s="87"/>
      <c r="I133" s="87"/>
      <c r="J133" s="87"/>
      <c r="K133" s="87"/>
      <c r="L133" s="87"/>
      <c r="M133" s="87"/>
      <c r="N133" s="87"/>
      <c r="O133" s="87"/>
      <c r="P133" s="88"/>
    </row>
    <row r="134" spans="1:16">
      <c r="A134" s="85"/>
      <c r="B134" s="86"/>
      <c r="C134" s="86"/>
      <c r="D134" s="87"/>
      <c r="E134" s="87"/>
      <c r="F134" s="87"/>
      <c r="G134" s="87"/>
      <c r="H134" s="87"/>
      <c r="I134" s="87"/>
      <c r="J134" s="87"/>
      <c r="K134" s="87"/>
      <c r="L134" s="87"/>
      <c r="M134" s="87"/>
      <c r="N134" s="87"/>
      <c r="O134" s="87"/>
      <c r="P134" s="88"/>
    </row>
    <row r="135" spans="1:16">
      <c r="A135" s="85"/>
      <c r="B135" s="86"/>
      <c r="C135" s="86"/>
      <c r="D135" s="87"/>
      <c r="E135" s="87"/>
      <c r="F135" s="87"/>
      <c r="G135" s="87"/>
      <c r="H135" s="87"/>
      <c r="I135" s="87"/>
      <c r="J135" s="87"/>
      <c r="K135" s="87"/>
      <c r="L135" s="87"/>
      <c r="M135" s="87"/>
      <c r="N135" s="87"/>
      <c r="O135" s="87"/>
      <c r="P135" s="88"/>
    </row>
    <row r="136" spans="1:16">
      <c r="A136" s="85"/>
      <c r="B136" s="86"/>
      <c r="C136" s="86"/>
      <c r="D136" s="87"/>
      <c r="E136" s="87"/>
      <c r="F136" s="87"/>
      <c r="G136" s="87"/>
      <c r="H136" s="87"/>
      <c r="I136" s="87"/>
      <c r="J136" s="87"/>
      <c r="K136" s="87"/>
      <c r="L136" s="87"/>
      <c r="M136" s="87"/>
      <c r="N136" s="87"/>
      <c r="O136" s="87"/>
      <c r="P136" s="88"/>
    </row>
    <row r="137" spans="1:16">
      <c r="A137" s="85"/>
      <c r="B137" s="86"/>
      <c r="C137" s="86"/>
      <c r="D137" s="87"/>
      <c r="E137" s="87"/>
      <c r="F137" s="87"/>
      <c r="G137" s="87"/>
      <c r="H137" s="87"/>
      <c r="I137" s="87"/>
      <c r="J137" s="87"/>
      <c r="K137" s="87"/>
      <c r="L137" s="87"/>
      <c r="M137" s="87"/>
      <c r="N137" s="87"/>
      <c r="O137" s="87"/>
      <c r="P137" s="88"/>
    </row>
    <row r="138" spans="1:16">
      <c r="A138" s="85"/>
      <c r="B138" s="86"/>
      <c r="C138" s="86"/>
      <c r="D138" s="87"/>
      <c r="E138" s="87"/>
      <c r="F138" s="87"/>
      <c r="G138" s="87"/>
      <c r="H138" s="87"/>
      <c r="I138" s="87"/>
      <c r="J138" s="87"/>
      <c r="K138" s="87"/>
      <c r="L138" s="87"/>
      <c r="M138" s="87"/>
      <c r="N138" s="87"/>
      <c r="O138" s="87"/>
      <c r="P138" s="88"/>
    </row>
    <row r="139" spans="1:16">
      <c r="A139" s="85"/>
      <c r="B139" s="86"/>
      <c r="C139" s="86"/>
      <c r="D139" s="87"/>
      <c r="E139" s="87"/>
      <c r="F139" s="87"/>
      <c r="G139" s="87"/>
      <c r="H139" s="87"/>
      <c r="I139" s="87"/>
      <c r="J139" s="87"/>
      <c r="K139" s="87"/>
      <c r="L139" s="87"/>
      <c r="M139" s="87"/>
      <c r="N139" s="87"/>
      <c r="O139" s="87"/>
      <c r="P139" s="88"/>
    </row>
    <row r="140" spans="1:16">
      <c r="A140" s="85"/>
      <c r="B140" s="86"/>
      <c r="C140" s="86"/>
      <c r="D140" s="87"/>
      <c r="E140" s="87"/>
      <c r="F140" s="87"/>
      <c r="G140" s="87"/>
      <c r="H140" s="87"/>
      <c r="I140" s="87"/>
      <c r="J140" s="87"/>
      <c r="K140" s="87"/>
      <c r="L140" s="87"/>
      <c r="M140" s="87"/>
      <c r="N140" s="87"/>
      <c r="O140" s="87"/>
      <c r="P140" s="88"/>
    </row>
    <row r="141" spans="1:16">
      <c r="A141" s="85"/>
      <c r="B141" s="86"/>
      <c r="C141" s="86"/>
      <c r="D141" s="87"/>
      <c r="E141" s="87"/>
      <c r="F141" s="87"/>
      <c r="G141" s="87"/>
      <c r="H141" s="87"/>
      <c r="I141" s="87"/>
      <c r="J141" s="87"/>
      <c r="K141" s="87"/>
      <c r="L141" s="87"/>
      <c r="M141" s="87"/>
      <c r="N141" s="87"/>
      <c r="O141" s="87"/>
      <c r="P141" s="88"/>
    </row>
    <row r="142" spans="1:16">
      <c r="A142" s="85"/>
      <c r="B142" s="86"/>
      <c r="C142" s="86"/>
      <c r="D142" s="87"/>
      <c r="E142" s="87"/>
      <c r="F142" s="87"/>
      <c r="G142" s="87"/>
      <c r="H142" s="87"/>
      <c r="I142" s="87"/>
      <c r="J142" s="87"/>
      <c r="K142" s="87"/>
      <c r="L142" s="87"/>
      <c r="M142" s="87"/>
      <c r="N142" s="87"/>
      <c r="O142" s="87"/>
      <c r="P142" s="88"/>
    </row>
    <row r="143" spans="1:16">
      <c r="A143" s="85"/>
      <c r="B143" s="86"/>
      <c r="C143" s="86"/>
      <c r="D143" s="87"/>
      <c r="E143" s="87"/>
      <c r="F143" s="87"/>
      <c r="G143" s="87"/>
      <c r="H143" s="87"/>
      <c r="I143" s="87"/>
      <c r="J143" s="87"/>
      <c r="K143" s="87"/>
      <c r="L143" s="87"/>
      <c r="M143" s="87"/>
      <c r="N143" s="87"/>
      <c r="O143" s="87"/>
      <c r="P143" s="88"/>
    </row>
    <row r="144" spans="1:16">
      <c r="A144" s="85"/>
      <c r="B144" s="86"/>
      <c r="C144" s="86"/>
      <c r="D144" s="87"/>
      <c r="E144" s="87"/>
      <c r="F144" s="87"/>
      <c r="G144" s="87"/>
      <c r="H144" s="87"/>
      <c r="I144" s="87"/>
      <c r="J144" s="87"/>
      <c r="K144" s="87"/>
      <c r="L144" s="87"/>
      <c r="M144" s="87"/>
      <c r="N144" s="87"/>
      <c r="O144" s="87"/>
      <c r="P144" s="88"/>
    </row>
    <row r="145" spans="1:16">
      <c r="A145" s="85"/>
      <c r="B145" s="86"/>
      <c r="C145" s="86"/>
      <c r="D145" s="87"/>
      <c r="E145" s="87"/>
      <c r="F145" s="87"/>
      <c r="G145" s="87"/>
      <c r="H145" s="87"/>
      <c r="I145" s="87"/>
      <c r="J145" s="87"/>
      <c r="K145" s="87"/>
      <c r="L145" s="87"/>
      <c r="M145" s="87"/>
      <c r="N145" s="87"/>
      <c r="O145" s="87"/>
      <c r="P145" s="88"/>
    </row>
    <row r="146" spans="1:16">
      <c r="A146" s="85"/>
      <c r="B146" s="86"/>
      <c r="C146" s="86"/>
      <c r="D146" s="87"/>
      <c r="E146" s="87"/>
      <c r="F146" s="87"/>
      <c r="G146" s="87"/>
      <c r="H146" s="87"/>
      <c r="I146" s="87"/>
      <c r="J146" s="87"/>
      <c r="K146" s="87"/>
      <c r="L146" s="87"/>
      <c r="M146" s="87"/>
      <c r="N146" s="87"/>
      <c r="O146" s="87"/>
      <c r="P146" s="88"/>
    </row>
    <row r="147" spans="1:16">
      <c r="A147" s="85"/>
      <c r="B147" s="86"/>
      <c r="C147" s="86"/>
      <c r="D147" s="87"/>
      <c r="E147" s="87"/>
      <c r="F147" s="87"/>
      <c r="G147" s="87"/>
      <c r="H147" s="87"/>
      <c r="I147" s="87"/>
      <c r="J147" s="87"/>
      <c r="K147" s="87"/>
      <c r="L147" s="87"/>
      <c r="M147" s="87"/>
      <c r="N147" s="87"/>
      <c r="O147" s="87"/>
      <c r="P147" s="88"/>
    </row>
    <row r="148" spans="1:16">
      <c r="A148" s="85"/>
      <c r="B148" s="86"/>
      <c r="C148" s="86"/>
      <c r="D148" s="87"/>
      <c r="E148" s="87"/>
      <c r="F148" s="87"/>
      <c r="G148" s="87"/>
      <c r="H148" s="87"/>
      <c r="I148" s="87"/>
      <c r="J148" s="87"/>
      <c r="K148" s="87"/>
      <c r="L148" s="87"/>
      <c r="M148" s="87"/>
      <c r="N148" s="87"/>
      <c r="O148" s="87"/>
      <c r="P148" s="88"/>
    </row>
    <row r="149" spans="1:16">
      <c r="A149" s="85"/>
      <c r="B149" s="86"/>
      <c r="C149" s="86"/>
      <c r="D149" s="87"/>
      <c r="E149" s="87"/>
      <c r="F149" s="87"/>
      <c r="G149" s="87"/>
      <c r="H149" s="87"/>
      <c r="I149" s="87"/>
      <c r="J149" s="87"/>
      <c r="K149" s="87"/>
      <c r="L149" s="87"/>
      <c r="M149" s="87"/>
      <c r="N149" s="87"/>
      <c r="O149" s="87"/>
      <c r="P149" s="88"/>
    </row>
    <row r="150" spans="1:16">
      <c r="A150" s="85"/>
      <c r="B150" s="86"/>
      <c r="C150" s="86"/>
      <c r="D150" s="87"/>
      <c r="E150" s="87"/>
      <c r="F150" s="87"/>
      <c r="G150" s="87"/>
      <c r="H150" s="87"/>
      <c r="I150" s="87"/>
      <c r="J150" s="87"/>
      <c r="K150" s="87"/>
      <c r="L150" s="87"/>
      <c r="M150" s="87"/>
      <c r="N150" s="87"/>
      <c r="O150" s="87"/>
      <c r="P150" s="88"/>
    </row>
    <row r="151" spans="1:16">
      <c r="A151" s="85"/>
      <c r="B151" s="86"/>
      <c r="C151" s="86"/>
      <c r="D151" s="87"/>
      <c r="E151" s="87"/>
      <c r="F151" s="87"/>
      <c r="G151" s="87"/>
      <c r="H151" s="87"/>
      <c r="I151" s="87"/>
      <c r="J151" s="87"/>
      <c r="K151" s="87"/>
      <c r="L151" s="87"/>
      <c r="M151" s="87"/>
      <c r="N151" s="87"/>
      <c r="O151" s="87"/>
      <c r="P151" s="88"/>
    </row>
    <row r="152" spans="1:16">
      <c r="A152" s="85"/>
      <c r="B152" s="86"/>
      <c r="C152" s="86"/>
      <c r="D152" s="87"/>
      <c r="E152" s="87"/>
      <c r="F152" s="87"/>
      <c r="G152" s="87"/>
      <c r="H152" s="87"/>
      <c r="I152" s="87"/>
      <c r="J152" s="87"/>
      <c r="K152" s="87"/>
      <c r="L152" s="87"/>
      <c r="M152" s="87"/>
      <c r="N152" s="87"/>
      <c r="O152" s="87"/>
      <c r="P152" s="88"/>
    </row>
    <row r="153" spans="1:16">
      <c r="A153" s="85"/>
      <c r="B153" s="86"/>
      <c r="C153" s="86"/>
      <c r="D153" s="87"/>
      <c r="E153" s="87"/>
      <c r="F153" s="87"/>
      <c r="G153" s="87"/>
      <c r="H153" s="87"/>
      <c r="I153" s="87"/>
      <c r="J153" s="87"/>
      <c r="K153" s="87"/>
      <c r="L153" s="87"/>
      <c r="M153" s="87"/>
      <c r="N153" s="87"/>
      <c r="O153" s="87"/>
      <c r="P153" s="88"/>
    </row>
    <row r="154" spans="1:16">
      <c r="A154" s="85"/>
      <c r="B154" s="86"/>
      <c r="C154" s="86"/>
      <c r="D154" s="87"/>
      <c r="E154" s="87"/>
      <c r="F154" s="87"/>
      <c r="G154" s="87"/>
      <c r="H154" s="87"/>
      <c r="I154" s="87"/>
      <c r="J154" s="87"/>
      <c r="K154" s="87"/>
      <c r="L154" s="87"/>
      <c r="M154" s="87"/>
      <c r="N154" s="87"/>
      <c r="O154" s="87"/>
      <c r="P154" s="88"/>
    </row>
    <row r="155" spans="1:16">
      <c r="A155" s="85"/>
      <c r="B155" s="86"/>
      <c r="C155" s="86"/>
      <c r="D155" s="87"/>
      <c r="E155" s="87"/>
      <c r="F155" s="87"/>
      <c r="G155" s="87"/>
      <c r="H155" s="87"/>
      <c r="I155" s="87"/>
      <c r="J155" s="87"/>
      <c r="K155" s="87"/>
      <c r="L155" s="87"/>
      <c r="M155" s="87"/>
      <c r="N155" s="87"/>
      <c r="O155" s="87"/>
      <c r="P155" s="88"/>
    </row>
    <row r="156" spans="1:16">
      <c r="A156" s="85"/>
      <c r="B156" s="86"/>
      <c r="C156" s="86"/>
      <c r="D156" s="87"/>
      <c r="E156" s="87"/>
      <c r="F156" s="87"/>
      <c r="G156" s="87"/>
      <c r="H156" s="87"/>
      <c r="I156" s="87"/>
      <c r="J156" s="87"/>
      <c r="K156" s="87"/>
      <c r="L156" s="87"/>
      <c r="M156" s="87"/>
      <c r="N156" s="87"/>
      <c r="O156" s="87"/>
      <c r="P156" s="88"/>
    </row>
    <row r="157" spans="1:16">
      <c r="A157" s="85"/>
      <c r="B157" s="86"/>
      <c r="C157" s="86"/>
      <c r="D157" s="87"/>
      <c r="E157" s="87"/>
      <c r="F157" s="87"/>
      <c r="G157" s="87"/>
      <c r="H157" s="87"/>
      <c r="I157" s="87"/>
      <c r="J157" s="87"/>
      <c r="K157" s="87"/>
      <c r="L157" s="87"/>
      <c r="M157" s="87"/>
      <c r="N157" s="87"/>
      <c r="O157" s="87"/>
      <c r="P157" s="88"/>
    </row>
    <row r="158" spans="1:16">
      <c r="A158" s="85"/>
      <c r="B158" s="86"/>
      <c r="C158" s="86"/>
      <c r="D158" s="87"/>
      <c r="E158" s="87"/>
      <c r="F158" s="87"/>
      <c r="G158" s="87"/>
      <c r="H158" s="87"/>
      <c r="I158" s="87"/>
      <c r="J158" s="87"/>
      <c r="K158" s="87"/>
      <c r="L158" s="87"/>
      <c r="M158" s="87"/>
      <c r="N158" s="87"/>
      <c r="O158" s="87"/>
      <c r="P158" s="88"/>
    </row>
    <row r="159" spans="1:16">
      <c r="A159" s="85"/>
      <c r="B159" s="86"/>
      <c r="C159" s="86"/>
      <c r="D159" s="87"/>
      <c r="E159" s="87"/>
      <c r="F159" s="87"/>
      <c r="G159" s="87"/>
      <c r="H159" s="87"/>
      <c r="I159" s="87"/>
      <c r="J159" s="87"/>
      <c r="K159" s="87"/>
      <c r="L159" s="87"/>
      <c r="M159" s="87"/>
      <c r="N159" s="87"/>
      <c r="O159" s="87"/>
      <c r="P159" s="88"/>
    </row>
    <row r="160" spans="1:16">
      <c r="A160" s="85"/>
      <c r="B160" s="86"/>
      <c r="C160" s="86"/>
      <c r="D160" s="87"/>
      <c r="E160" s="87"/>
      <c r="F160" s="87"/>
      <c r="G160" s="87"/>
      <c r="H160" s="87"/>
      <c r="I160" s="87"/>
      <c r="J160" s="87"/>
      <c r="K160" s="87"/>
      <c r="L160" s="87"/>
      <c r="M160" s="87"/>
      <c r="N160" s="87"/>
      <c r="O160" s="87"/>
      <c r="P160" s="88"/>
    </row>
    <row r="161" spans="1:16">
      <c r="A161" s="85"/>
      <c r="B161" s="86"/>
      <c r="C161" s="86"/>
      <c r="D161" s="87"/>
      <c r="E161" s="87"/>
      <c r="F161" s="87"/>
      <c r="G161" s="87"/>
      <c r="H161" s="87"/>
      <c r="I161" s="87"/>
      <c r="J161" s="87"/>
      <c r="K161" s="87"/>
      <c r="L161" s="87"/>
      <c r="M161" s="87"/>
      <c r="N161" s="87"/>
      <c r="O161" s="87"/>
      <c r="P161" s="88"/>
    </row>
    <row r="162" spans="1:16">
      <c r="A162" s="85"/>
      <c r="B162" s="86"/>
      <c r="C162" s="86"/>
      <c r="D162" s="87"/>
      <c r="E162" s="87"/>
      <c r="F162" s="87"/>
      <c r="G162" s="87"/>
      <c r="H162" s="87"/>
      <c r="I162" s="87"/>
      <c r="J162" s="87"/>
      <c r="K162" s="87"/>
      <c r="L162" s="87"/>
      <c r="M162" s="87"/>
      <c r="N162" s="87"/>
      <c r="O162" s="87"/>
      <c r="P162" s="88"/>
    </row>
    <row r="163" spans="1:16">
      <c r="A163" s="85"/>
      <c r="B163" s="86"/>
      <c r="C163" s="86"/>
      <c r="D163" s="87"/>
      <c r="E163" s="87"/>
      <c r="F163" s="87"/>
      <c r="G163" s="87"/>
      <c r="H163" s="87"/>
      <c r="I163" s="87"/>
      <c r="J163" s="87"/>
      <c r="K163" s="87"/>
      <c r="L163" s="87"/>
      <c r="M163" s="87"/>
      <c r="N163" s="87"/>
      <c r="O163" s="87"/>
      <c r="P163" s="88"/>
    </row>
    <row r="164" spans="1:16">
      <c r="A164" s="85"/>
      <c r="B164" s="86"/>
      <c r="C164" s="86"/>
      <c r="D164" s="87"/>
      <c r="E164" s="87"/>
      <c r="F164" s="87"/>
      <c r="G164" s="87"/>
      <c r="H164" s="87"/>
      <c r="I164" s="87"/>
      <c r="J164" s="87"/>
      <c r="K164" s="87"/>
      <c r="L164" s="87"/>
      <c r="M164" s="87"/>
      <c r="N164" s="87"/>
      <c r="O164" s="87"/>
      <c r="P164" s="88"/>
    </row>
    <row r="165" spans="1:16">
      <c r="A165" s="85"/>
      <c r="B165" s="86"/>
      <c r="C165" s="86"/>
      <c r="D165" s="87"/>
      <c r="E165" s="87"/>
      <c r="F165" s="87"/>
      <c r="G165" s="87"/>
      <c r="H165" s="87"/>
      <c r="I165" s="87"/>
      <c r="J165" s="87"/>
      <c r="K165" s="87"/>
      <c r="L165" s="87"/>
      <c r="M165" s="87"/>
      <c r="N165" s="87"/>
      <c r="O165" s="87"/>
      <c r="P165" s="88"/>
    </row>
    <row r="166" spans="1:16">
      <c r="A166" s="85"/>
      <c r="B166" s="86"/>
      <c r="C166" s="86"/>
      <c r="D166" s="87"/>
      <c r="E166" s="87"/>
      <c r="F166" s="87"/>
      <c r="G166" s="87"/>
      <c r="H166" s="87"/>
      <c r="I166" s="87"/>
      <c r="J166" s="87"/>
      <c r="K166" s="87"/>
      <c r="L166" s="87"/>
      <c r="M166" s="87"/>
      <c r="N166" s="87"/>
      <c r="O166" s="87"/>
      <c r="P166" s="88"/>
    </row>
    <row r="167" spans="1:16">
      <c r="A167" s="85"/>
      <c r="B167" s="86"/>
      <c r="C167" s="86"/>
      <c r="D167" s="87"/>
      <c r="E167" s="87"/>
      <c r="F167" s="87"/>
      <c r="G167" s="87"/>
      <c r="H167" s="87"/>
      <c r="I167" s="87"/>
      <c r="J167" s="87"/>
      <c r="K167" s="87"/>
      <c r="L167" s="87"/>
      <c r="M167" s="87"/>
      <c r="N167" s="87"/>
      <c r="O167" s="87"/>
      <c r="P167" s="88"/>
    </row>
    <row r="168" spans="1:16">
      <c r="A168" s="85"/>
      <c r="B168" s="86"/>
      <c r="C168" s="86"/>
      <c r="D168" s="87"/>
      <c r="E168" s="87"/>
      <c r="F168" s="87"/>
      <c r="G168" s="87"/>
      <c r="H168" s="87"/>
      <c r="I168" s="87"/>
      <c r="J168" s="87"/>
      <c r="K168" s="87"/>
      <c r="L168" s="87"/>
      <c r="M168" s="87"/>
      <c r="N168" s="87"/>
      <c r="O168" s="87"/>
      <c r="P168" s="88"/>
    </row>
    <row r="169" spans="1:16">
      <c r="A169" s="85"/>
      <c r="B169" s="86"/>
      <c r="C169" s="86"/>
      <c r="D169" s="87"/>
      <c r="E169" s="87"/>
      <c r="F169" s="87"/>
      <c r="G169" s="87"/>
      <c r="H169" s="87"/>
      <c r="I169" s="87"/>
      <c r="J169" s="87"/>
      <c r="K169" s="87"/>
      <c r="L169" s="87"/>
      <c r="M169" s="87"/>
      <c r="N169" s="87"/>
      <c r="O169" s="87"/>
      <c r="P169" s="88"/>
    </row>
    <row r="170" spans="1:16">
      <c r="A170" s="85"/>
      <c r="B170" s="86"/>
      <c r="C170" s="86"/>
      <c r="D170" s="87"/>
      <c r="E170" s="87"/>
      <c r="F170" s="87"/>
      <c r="G170" s="87"/>
      <c r="H170" s="87"/>
      <c r="I170" s="87"/>
      <c r="J170" s="87"/>
      <c r="K170" s="87"/>
      <c r="L170" s="87"/>
      <c r="M170" s="87"/>
      <c r="N170" s="87"/>
      <c r="O170" s="87"/>
      <c r="P170" s="88"/>
    </row>
    <row r="171" spans="1:16">
      <c r="A171" s="85"/>
      <c r="B171" s="86"/>
      <c r="C171" s="86"/>
      <c r="D171" s="87"/>
      <c r="E171" s="87"/>
      <c r="F171" s="87"/>
      <c r="G171" s="87"/>
      <c r="H171" s="87"/>
      <c r="I171" s="87"/>
      <c r="J171" s="87"/>
      <c r="K171" s="87"/>
      <c r="L171" s="87"/>
      <c r="M171" s="87"/>
      <c r="N171" s="87"/>
      <c r="O171" s="87"/>
      <c r="P171" s="88"/>
    </row>
    <row r="172" spans="1:16">
      <c r="A172" s="85"/>
      <c r="B172" s="86"/>
      <c r="C172" s="86"/>
      <c r="D172" s="87"/>
      <c r="E172" s="87"/>
      <c r="F172" s="87"/>
      <c r="G172" s="87"/>
      <c r="H172" s="87"/>
      <c r="I172" s="87"/>
      <c r="J172" s="87"/>
      <c r="K172" s="87"/>
      <c r="L172" s="87"/>
      <c r="M172" s="87"/>
      <c r="N172" s="87"/>
      <c r="O172" s="87"/>
      <c r="P172" s="88"/>
    </row>
    <row r="173" spans="1:16">
      <c r="A173" s="85"/>
      <c r="B173" s="86"/>
      <c r="C173" s="86"/>
      <c r="D173" s="87"/>
      <c r="E173" s="87"/>
      <c r="F173" s="87"/>
      <c r="G173" s="87"/>
      <c r="H173" s="87"/>
      <c r="I173" s="87"/>
      <c r="J173" s="87"/>
      <c r="K173" s="87"/>
      <c r="L173" s="87"/>
      <c r="M173" s="87"/>
      <c r="N173" s="87"/>
      <c r="O173" s="87"/>
      <c r="P173" s="88"/>
    </row>
    <row r="174" spans="1:16">
      <c r="A174" s="85"/>
      <c r="B174" s="86"/>
      <c r="C174" s="86"/>
      <c r="D174" s="87"/>
      <c r="E174" s="87"/>
      <c r="F174" s="87"/>
      <c r="G174" s="87"/>
      <c r="H174" s="87"/>
      <c r="I174" s="87"/>
      <c r="J174" s="87"/>
      <c r="K174" s="87"/>
      <c r="L174" s="87"/>
      <c r="M174" s="87"/>
      <c r="N174" s="87"/>
      <c r="O174" s="87"/>
      <c r="P174" s="88"/>
    </row>
    <row r="175" spans="1:16">
      <c r="A175" s="85"/>
      <c r="B175" s="86"/>
      <c r="C175" s="86"/>
      <c r="D175" s="87"/>
      <c r="E175" s="87"/>
      <c r="F175" s="87"/>
      <c r="G175" s="87"/>
      <c r="H175" s="87"/>
      <c r="I175" s="87"/>
      <c r="J175" s="87"/>
      <c r="K175" s="87"/>
      <c r="L175" s="87"/>
      <c r="M175" s="87"/>
      <c r="N175" s="87"/>
      <c r="O175" s="87"/>
      <c r="P175" s="88"/>
    </row>
    <row r="176" spans="1:16">
      <c r="A176" s="85"/>
      <c r="B176" s="86"/>
      <c r="C176" s="86"/>
      <c r="D176" s="87"/>
      <c r="E176" s="87"/>
      <c r="F176" s="87"/>
      <c r="G176" s="87"/>
      <c r="H176" s="87"/>
      <c r="I176" s="87"/>
      <c r="J176" s="87"/>
      <c r="K176" s="87"/>
      <c r="L176" s="87"/>
      <c r="M176" s="87"/>
      <c r="N176" s="87"/>
      <c r="O176" s="87"/>
      <c r="P176" s="88"/>
    </row>
    <row r="177" spans="1:16">
      <c r="A177" s="85"/>
      <c r="B177" s="86"/>
      <c r="C177" s="86"/>
      <c r="D177" s="87"/>
      <c r="E177" s="87"/>
      <c r="F177" s="87"/>
      <c r="G177" s="87"/>
      <c r="H177" s="87"/>
      <c r="I177" s="87"/>
      <c r="J177" s="87"/>
      <c r="K177" s="87"/>
      <c r="L177" s="87"/>
      <c r="M177" s="87"/>
      <c r="N177" s="87"/>
      <c r="O177" s="87"/>
      <c r="P177" s="88"/>
    </row>
    <row r="178" spans="1:16">
      <c r="A178" s="85"/>
      <c r="B178" s="86"/>
      <c r="C178" s="86"/>
      <c r="D178" s="87"/>
      <c r="E178" s="87"/>
      <c r="F178" s="87"/>
      <c r="G178" s="87"/>
      <c r="H178" s="87"/>
      <c r="I178" s="87"/>
      <c r="J178" s="87"/>
      <c r="K178" s="87"/>
      <c r="L178" s="87"/>
      <c r="M178" s="87"/>
      <c r="N178" s="87"/>
      <c r="O178" s="87"/>
      <c r="P178" s="88"/>
    </row>
    <row r="179" spans="1:16">
      <c r="A179" s="85"/>
      <c r="B179" s="86"/>
      <c r="C179" s="86"/>
      <c r="D179" s="87"/>
      <c r="E179" s="87"/>
      <c r="F179" s="87"/>
      <c r="G179" s="87"/>
      <c r="H179" s="87"/>
      <c r="I179" s="87"/>
      <c r="J179" s="87"/>
      <c r="K179" s="87"/>
      <c r="L179" s="87"/>
      <c r="M179" s="87"/>
      <c r="N179" s="87"/>
      <c r="O179" s="87"/>
      <c r="P179" s="88"/>
    </row>
    <row r="180" spans="1:16">
      <c r="A180" s="85"/>
      <c r="B180" s="86"/>
      <c r="C180" s="86"/>
      <c r="D180" s="87"/>
      <c r="E180" s="87"/>
      <c r="F180" s="87"/>
      <c r="G180" s="87"/>
      <c r="H180" s="87"/>
      <c r="I180" s="87"/>
      <c r="J180" s="87"/>
      <c r="K180" s="87"/>
      <c r="L180" s="87"/>
      <c r="M180" s="87"/>
      <c r="N180" s="87"/>
      <c r="O180" s="87"/>
      <c r="P180" s="88"/>
    </row>
    <row r="181" spans="1:16">
      <c r="A181" s="85"/>
      <c r="B181" s="86"/>
      <c r="C181" s="86"/>
      <c r="D181" s="87"/>
      <c r="E181" s="87"/>
      <c r="F181" s="87"/>
      <c r="G181" s="87"/>
      <c r="H181" s="87"/>
      <c r="I181" s="87"/>
      <c r="J181" s="87"/>
      <c r="K181" s="87"/>
      <c r="L181" s="87"/>
      <c r="M181" s="87"/>
      <c r="N181" s="87"/>
      <c r="O181" s="87"/>
      <c r="P181" s="88"/>
    </row>
    <row r="182" spans="1:16">
      <c r="A182" s="85"/>
      <c r="B182" s="86"/>
      <c r="C182" s="86"/>
      <c r="D182" s="87"/>
      <c r="E182" s="87"/>
      <c r="F182" s="87"/>
      <c r="G182" s="87"/>
      <c r="H182" s="87"/>
      <c r="I182" s="87"/>
      <c r="J182" s="87"/>
      <c r="K182" s="87"/>
      <c r="L182" s="87"/>
      <c r="M182" s="87"/>
      <c r="N182" s="87"/>
      <c r="O182" s="87"/>
      <c r="P182" s="88"/>
    </row>
    <row r="183" spans="1:16">
      <c r="A183" s="85"/>
      <c r="B183" s="86"/>
      <c r="C183" s="86"/>
      <c r="D183" s="87"/>
      <c r="E183" s="87"/>
      <c r="F183" s="87"/>
      <c r="G183" s="87"/>
      <c r="H183" s="87"/>
      <c r="I183" s="87"/>
      <c r="J183" s="87"/>
      <c r="K183" s="87"/>
      <c r="L183" s="87"/>
      <c r="M183" s="87"/>
      <c r="N183" s="87"/>
      <c r="O183" s="87"/>
      <c r="P183" s="88"/>
    </row>
    <row r="184" spans="1:16">
      <c r="A184" s="85"/>
      <c r="B184" s="86"/>
      <c r="C184" s="86"/>
      <c r="D184" s="87"/>
      <c r="E184" s="87"/>
      <c r="F184" s="87"/>
      <c r="G184" s="87"/>
      <c r="H184" s="87"/>
      <c r="I184" s="87"/>
      <c r="J184" s="87"/>
      <c r="K184" s="87"/>
      <c r="L184" s="87"/>
      <c r="M184" s="87"/>
      <c r="N184" s="87"/>
      <c r="O184" s="87"/>
      <c r="P184" s="88"/>
    </row>
    <row r="185" spans="1:16">
      <c r="A185" s="85"/>
      <c r="B185" s="86"/>
      <c r="C185" s="86"/>
      <c r="D185" s="87"/>
      <c r="E185" s="87"/>
      <c r="F185" s="87"/>
      <c r="G185" s="87"/>
      <c r="H185" s="87"/>
      <c r="I185" s="87"/>
      <c r="J185" s="87"/>
      <c r="K185" s="87"/>
      <c r="L185" s="87"/>
      <c r="M185" s="87"/>
      <c r="N185" s="87"/>
      <c r="O185" s="87"/>
      <c r="P185" s="88"/>
    </row>
    <row r="186" spans="1:16">
      <c r="A186" s="85"/>
      <c r="B186" s="86"/>
      <c r="C186" s="86"/>
      <c r="D186" s="87"/>
      <c r="E186" s="87"/>
      <c r="F186" s="87"/>
      <c r="G186" s="87"/>
      <c r="H186" s="87"/>
      <c r="I186" s="87"/>
      <c r="J186" s="87"/>
      <c r="K186" s="87"/>
      <c r="L186" s="87"/>
      <c r="M186" s="87"/>
      <c r="N186" s="87"/>
      <c r="O186" s="87"/>
      <c r="P186" s="88"/>
    </row>
    <row r="187" spans="1:16">
      <c r="A187" s="85"/>
      <c r="B187" s="86"/>
      <c r="C187" s="86"/>
      <c r="D187" s="87"/>
      <c r="E187" s="87"/>
      <c r="F187" s="87"/>
      <c r="G187" s="87"/>
      <c r="H187" s="87"/>
      <c r="I187" s="87"/>
      <c r="J187" s="87"/>
      <c r="K187" s="87"/>
      <c r="L187" s="87"/>
      <c r="M187" s="87"/>
      <c r="N187" s="87"/>
      <c r="O187" s="87"/>
      <c r="P187" s="88"/>
    </row>
    <row r="188" spans="1:16">
      <c r="A188" s="85"/>
      <c r="B188" s="86"/>
      <c r="C188" s="86"/>
      <c r="D188" s="87"/>
      <c r="E188" s="87"/>
      <c r="F188" s="87"/>
      <c r="G188" s="87"/>
      <c r="H188" s="87"/>
      <c r="I188" s="87"/>
      <c r="J188" s="87"/>
      <c r="K188" s="87"/>
      <c r="L188" s="87"/>
      <c r="M188" s="87"/>
      <c r="N188" s="87"/>
      <c r="O188" s="87"/>
      <c r="P188" s="88"/>
    </row>
    <row r="189" spans="1:16">
      <c r="A189" s="85"/>
      <c r="B189" s="86"/>
      <c r="C189" s="86"/>
      <c r="D189" s="87"/>
      <c r="E189" s="87"/>
      <c r="F189" s="87"/>
      <c r="G189" s="87"/>
      <c r="H189" s="87"/>
      <c r="I189" s="87"/>
      <c r="J189" s="87"/>
      <c r="K189" s="87"/>
      <c r="L189" s="87"/>
      <c r="M189" s="87"/>
      <c r="N189" s="87"/>
      <c r="O189" s="87"/>
      <c r="P189" s="88"/>
    </row>
    <row r="190" spans="1:16">
      <c r="A190" s="85"/>
      <c r="B190" s="86"/>
      <c r="C190" s="86"/>
      <c r="D190" s="87"/>
      <c r="E190" s="87"/>
      <c r="F190" s="87"/>
      <c r="G190" s="87"/>
      <c r="H190" s="87"/>
      <c r="I190" s="87"/>
      <c r="J190" s="87"/>
      <c r="K190" s="87"/>
      <c r="L190" s="87"/>
      <c r="M190" s="87"/>
      <c r="N190" s="87"/>
      <c r="O190" s="87"/>
      <c r="P190" s="88"/>
    </row>
    <row r="191" spans="1:16">
      <c r="A191" s="85"/>
      <c r="B191" s="86"/>
      <c r="C191" s="86"/>
      <c r="D191" s="87"/>
      <c r="E191" s="87"/>
      <c r="F191" s="87"/>
      <c r="G191" s="87"/>
      <c r="H191" s="87"/>
      <c r="I191" s="87"/>
      <c r="J191" s="87"/>
      <c r="K191" s="87"/>
      <c r="L191" s="87"/>
      <c r="M191" s="87"/>
      <c r="N191" s="87"/>
      <c r="O191" s="87"/>
      <c r="P191" s="88"/>
    </row>
    <row r="192" spans="1:16">
      <c r="A192" s="85"/>
      <c r="B192" s="86"/>
      <c r="C192" s="86"/>
      <c r="D192" s="87"/>
      <c r="E192" s="87"/>
      <c r="F192" s="87"/>
      <c r="G192" s="87"/>
      <c r="H192" s="87"/>
      <c r="I192" s="87"/>
      <c r="J192" s="87"/>
      <c r="K192" s="87"/>
      <c r="L192" s="87"/>
      <c r="M192" s="87"/>
      <c r="N192" s="87"/>
      <c r="O192" s="87"/>
      <c r="P192" s="88"/>
    </row>
    <row r="193" spans="1:16">
      <c r="A193" s="85"/>
      <c r="B193" s="86"/>
      <c r="C193" s="86"/>
      <c r="D193" s="87"/>
      <c r="E193" s="87"/>
      <c r="F193" s="87"/>
      <c r="G193" s="87"/>
      <c r="H193" s="87"/>
      <c r="I193" s="87"/>
      <c r="J193" s="87"/>
      <c r="K193" s="87"/>
      <c r="L193" s="87"/>
      <c r="M193" s="87"/>
      <c r="N193" s="87"/>
      <c r="O193" s="87"/>
      <c r="P193" s="88"/>
    </row>
    <row r="194" spans="1:16">
      <c r="A194" s="85"/>
      <c r="B194" s="86"/>
      <c r="C194" s="86"/>
      <c r="D194" s="87"/>
      <c r="E194" s="87"/>
      <c r="F194" s="87"/>
      <c r="G194" s="87"/>
      <c r="H194" s="87"/>
      <c r="I194" s="87"/>
      <c r="J194" s="87"/>
      <c r="K194" s="87"/>
      <c r="L194" s="87"/>
      <c r="M194" s="87"/>
      <c r="N194" s="87"/>
      <c r="O194" s="87"/>
      <c r="P194" s="88"/>
    </row>
    <row r="195" spans="1:16">
      <c r="A195" s="85"/>
      <c r="B195" s="86"/>
      <c r="C195" s="86"/>
      <c r="D195" s="87"/>
      <c r="E195" s="87"/>
      <c r="F195" s="87"/>
      <c r="G195" s="87"/>
      <c r="H195" s="87"/>
      <c r="I195" s="87"/>
      <c r="J195" s="87"/>
      <c r="K195" s="87"/>
      <c r="L195" s="87"/>
      <c r="M195" s="87"/>
      <c r="N195" s="87"/>
      <c r="O195" s="87"/>
      <c r="P195" s="88"/>
    </row>
    <row r="196" spans="1:16">
      <c r="A196" s="85"/>
      <c r="B196" s="86"/>
      <c r="C196" s="86"/>
      <c r="D196" s="87"/>
      <c r="E196" s="87"/>
      <c r="F196" s="87"/>
      <c r="G196" s="87"/>
      <c r="H196" s="87"/>
      <c r="I196" s="87"/>
      <c r="J196" s="87"/>
      <c r="K196" s="87"/>
      <c r="L196" s="87"/>
      <c r="M196" s="87"/>
      <c r="N196" s="87"/>
      <c r="O196" s="87"/>
      <c r="P196" s="88"/>
    </row>
    <row r="197" spans="1:16">
      <c r="A197" s="85"/>
      <c r="B197" s="86"/>
      <c r="C197" s="86"/>
      <c r="D197" s="87"/>
      <c r="E197" s="87"/>
      <c r="F197" s="87"/>
      <c r="G197" s="87"/>
      <c r="H197" s="87"/>
      <c r="I197" s="87"/>
      <c r="J197" s="87"/>
      <c r="K197" s="87"/>
      <c r="L197" s="87"/>
      <c r="M197" s="87"/>
      <c r="N197" s="87"/>
      <c r="O197" s="87"/>
      <c r="P197" s="88"/>
    </row>
    <row r="198" spans="1:16">
      <c r="A198" s="85"/>
      <c r="B198" s="86"/>
      <c r="C198" s="86"/>
      <c r="D198" s="87"/>
      <c r="E198" s="87"/>
      <c r="F198" s="87"/>
      <c r="G198" s="87"/>
      <c r="H198" s="87"/>
      <c r="I198" s="87"/>
      <c r="J198" s="87"/>
      <c r="K198" s="87"/>
      <c r="L198" s="87"/>
      <c r="M198" s="87"/>
      <c r="N198" s="87"/>
      <c r="O198" s="87"/>
      <c r="P198" s="88"/>
    </row>
    <row r="199" spans="1:16">
      <c r="A199" s="85"/>
      <c r="B199" s="86"/>
      <c r="C199" s="86"/>
      <c r="D199" s="87"/>
      <c r="E199" s="87"/>
      <c r="F199" s="87"/>
      <c r="G199" s="87"/>
      <c r="H199" s="87"/>
      <c r="I199" s="87"/>
      <c r="J199" s="87"/>
      <c r="K199" s="87"/>
      <c r="L199" s="87"/>
      <c r="M199" s="87"/>
      <c r="N199" s="87"/>
      <c r="O199" s="87"/>
      <c r="P199" s="88"/>
    </row>
    <row r="200" spans="1:16">
      <c r="A200" s="85"/>
      <c r="B200" s="86"/>
      <c r="C200" s="86"/>
      <c r="D200" s="87"/>
      <c r="E200" s="87"/>
      <c r="F200" s="87"/>
      <c r="G200" s="87"/>
      <c r="H200" s="87"/>
      <c r="I200" s="87"/>
      <c r="J200" s="87"/>
      <c r="K200" s="87"/>
      <c r="L200" s="87"/>
      <c r="M200" s="87"/>
      <c r="N200" s="87"/>
      <c r="O200" s="87"/>
      <c r="P200" s="88"/>
    </row>
    <row r="201" spans="1:16">
      <c r="A201" s="85"/>
      <c r="B201" s="86"/>
      <c r="C201" s="86"/>
      <c r="D201" s="87"/>
      <c r="E201" s="87"/>
      <c r="F201" s="87"/>
      <c r="G201" s="87"/>
      <c r="H201" s="87"/>
      <c r="I201" s="87"/>
      <c r="J201" s="87"/>
      <c r="K201" s="87"/>
      <c r="L201" s="87"/>
      <c r="M201" s="87"/>
      <c r="N201" s="87"/>
      <c r="O201" s="87"/>
      <c r="P201" s="88"/>
    </row>
    <row r="202" spans="1:16">
      <c r="A202" s="85"/>
      <c r="B202" s="86"/>
      <c r="C202" s="86"/>
      <c r="D202" s="87"/>
      <c r="E202" s="87"/>
      <c r="F202" s="87"/>
      <c r="G202" s="87"/>
      <c r="H202" s="87"/>
      <c r="I202" s="87"/>
      <c r="J202" s="87"/>
      <c r="K202" s="87"/>
      <c r="L202" s="87"/>
      <c r="M202" s="87"/>
      <c r="N202" s="87"/>
      <c r="O202" s="87"/>
      <c r="P202" s="88"/>
    </row>
    <row r="203" spans="1:16">
      <c r="A203" s="85"/>
      <c r="B203" s="86"/>
      <c r="C203" s="86"/>
      <c r="D203" s="87"/>
      <c r="E203" s="87"/>
      <c r="F203" s="87"/>
      <c r="G203" s="87"/>
      <c r="H203" s="87"/>
      <c r="I203" s="87"/>
      <c r="J203" s="87"/>
      <c r="K203" s="87"/>
      <c r="L203" s="87"/>
      <c r="M203" s="87"/>
      <c r="N203" s="87"/>
      <c r="O203" s="87"/>
      <c r="P203" s="88"/>
    </row>
    <row r="204" spans="1:16">
      <c r="A204" s="85"/>
      <c r="B204" s="86"/>
      <c r="C204" s="86"/>
      <c r="D204" s="87"/>
      <c r="E204" s="87"/>
      <c r="F204" s="87"/>
      <c r="G204" s="87"/>
      <c r="H204" s="87"/>
      <c r="I204" s="87"/>
      <c r="J204" s="87"/>
      <c r="K204" s="87"/>
      <c r="L204" s="87"/>
      <c r="M204" s="87"/>
      <c r="N204" s="87"/>
      <c r="O204" s="87"/>
      <c r="P204" s="88"/>
    </row>
    <row r="205" spans="1:16">
      <c r="A205" s="85"/>
      <c r="B205" s="86"/>
      <c r="C205" s="86"/>
      <c r="D205" s="87"/>
      <c r="E205" s="87"/>
      <c r="F205" s="87"/>
      <c r="G205" s="87"/>
      <c r="H205" s="87"/>
      <c r="I205" s="87"/>
      <c r="J205" s="87"/>
      <c r="K205" s="87"/>
      <c r="L205" s="87"/>
      <c r="M205" s="87"/>
      <c r="N205" s="87"/>
      <c r="O205" s="87"/>
      <c r="P205" s="88"/>
    </row>
    <row r="206" spans="1:16">
      <c r="A206" s="85"/>
      <c r="B206" s="86"/>
      <c r="C206" s="86"/>
      <c r="D206" s="87"/>
      <c r="E206" s="87"/>
      <c r="F206" s="87"/>
      <c r="G206" s="87"/>
      <c r="H206" s="87"/>
      <c r="I206" s="87"/>
      <c r="J206" s="87"/>
      <c r="K206" s="87"/>
      <c r="L206" s="87"/>
      <c r="M206" s="87"/>
      <c r="N206" s="87"/>
      <c r="O206" s="87"/>
      <c r="P206" s="88"/>
    </row>
    <row r="207" spans="1:16">
      <c r="A207" s="85"/>
      <c r="B207" s="86"/>
      <c r="C207" s="86"/>
      <c r="D207" s="87"/>
      <c r="E207" s="87"/>
      <c r="F207" s="87"/>
      <c r="G207" s="87"/>
      <c r="H207" s="87"/>
      <c r="I207" s="87"/>
      <c r="J207" s="87"/>
      <c r="K207" s="87"/>
      <c r="L207" s="87"/>
      <c r="M207" s="87"/>
      <c r="N207" s="87"/>
      <c r="O207" s="87"/>
      <c r="P207" s="88"/>
    </row>
    <row r="208" spans="1:16">
      <c r="A208" s="85"/>
      <c r="B208" s="86"/>
      <c r="C208" s="86"/>
      <c r="D208" s="87"/>
      <c r="E208" s="87"/>
      <c r="F208" s="87"/>
      <c r="G208" s="87"/>
      <c r="H208" s="87"/>
      <c r="I208" s="87"/>
      <c r="J208" s="87"/>
      <c r="K208" s="87"/>
      <c r="L208" s="87"/>
      <c r="M208" s="87"/>
      <c r="N208" s="87"/>
      <c r="O208" s="87"/>
      <c r="P208" s="88"/>
    </row>
    <row r="209" spans="1:16">
      <c r="A209" s="85"/>
      <c r="B209" s="86"/>
      <c r="C209" s="86"/>
      <c r="D209" s="87"/>
      <c r="E209" s="87"/>
      <c r="F209" s="87"/>
      <c r="G209" s="87"/>
      <c r="H209" s="87"/>
      <c r="I209" s="87"/>
      <c r="J209" s="87"/>
      <c r="K209" s="87"/>
      <c r="L209" s="87"/>
      <c r="M209" s="87"/>
      <c r="N209" s="87"/>
      <c r="O209" s="87"/>
      <c r="P209" s="88"/>
    </row>
    <row r="210" spans="1:16">
      <c r="A210" s="85"/>
      <c r="B210" s="86"/>
      <c r="C210" s="86"/>
      <c r="D210" s="87"/>
      <c r="E210" s="87"/>
      <c r="F210" s="87"/>
      <c r="G210" s="87"/>
      <c r="H210" s="87"/>
      <c r="I210" s="87"/>
      <c r="J210" s="87"/>
      <c r="K210" s="87"/>
      <c r="L210" s="87"/>
      <c r="M210" s="87"/>
      <c r="N210" s="87"/>
      <c r="O210" s="87"/>
      <c r="P210" s="88"/>
    </row>
    <row r="211" spans="1:16">
      <c r="A211" s="85"/>
      <c r="B211" s="86"/>
      <c r="C211" s="86"/>
      <c r="D211" s="87"/>
      <c r="E211" s="87"/>
      <c r="F211" s="87"/>
      <c r="G211" s="87"/>
      <c r="H211" s="87"/>
      <c r="I211" s="87"/>
      <c r="J211" s="87"/>
      <c r="K211" s="87"/>
      <c r="L211" s="87"/>
      <c r="M211" s="87"/>
      <c r="N211" s="87"/>
      <c r="O211" s="87"/>
      <c r="P211" s="88"/>
    </row>
    <row r="212" spans="1:16">
      <c r="A212" s="85"/>
      <c r="B212" s="86"/>
      <c r="C212" s="86"/>
      <c r="D212" s="87"/>
      <c r="E212" s="87"/>
      <c r="F212" s="87"/>
      <c r="G212" s="87"/>
      <c r="H212" s="87"/>
      <c r="I212" s="87"/>
      <c r="J212" s="87"/>
      <c r="K212" s="87"/>
      <c r="L212" s="87"/>
      <c r="M212" s="87"/>
      <c r="N212" s="87"/>
      <c r="O212" s="87"/>
      <c r="P212" s="88"/>
    </row>
    <row r="213" spans="1:16">
      <c r="A213" s="85"/>
      <c r="B213" s="86"/>
      <c r="C213" s="86"/>
      <c r="D213" s="87"/>
      <c r="E213" s="87"/>
      <c r="F213" s="87"/>
      <c r="G213" s="87"/>
      <c r="H213" s="87"/>
      <c r="I213" s="87"/>
      <c r="J213" s="87"/>
      <c r="K213" s="87"/>
      <c r="L213" s="87"/>
      <c r="M213" s="87"/>
      <c r="N213" s="87"/>
      <c r="O213" s="87"/>
      <c r="P213" s="88"/>
    </row>
    <row r="214" spans="1:16">
      <c r="A214" s="85"/>
      <c r="B214" s="86"/>
      <c r="C214" s="86"/>
      <c r="D214" s="87"/>
      <c r="E214" s="87"/>
      <c r="F214" s="87"/>
      <c r="G214" s="87"/>
      <c r="H214" s="87"/>
      <c r="I214" s="87"/>
      <c r="J214" s="87"/>
      <c r="K214" s="87"/>
      <c r="L214" s="87"/>
      <c r="M214" s="87"/>
      <c r="N214" s="87"/>
      <c r="O214" s="87"/>
      <c r="P214" s="88"/>
    </row>
    <row r="215" spans="1:16">
      <c r="A215" s="85"/>
      <c r="B215" s="86"/>
      <c r="C215" s="86"/>
      <c r="D215" s="87"/>
      <c r="E215" s="87"/>
      <c r="F215" s="87"/>
      <c r="G215" s="87"/>
      <c r="H215" s="87"/>
      <c r="I215" s="87"/>
      <c r="J215" s="87"/>
      <c r="K215" s="87"/>
      <c r="L215" s="87"/>
      <c r="M215" s="87"/>
      <c r="N215" s="87"/>
      <c r="O215" s="87"/>
      <c r="P215" s="88"/>
    </row>
    <row r="216" spans="1:16">
      <c r="A216" s="85"/>
      <c r="B216" s="86"/>
      <c r="C216" s="86"/>
      <c r="D216" s="87"/>
      <c r="E216" s="87"/>
      <c r="F216" s="87"/>
      <c r="G216" s="87"/>
      <c r="H216" s="87"/>
      <c r="I216" s="87"/>
      <c r="J216" s="87"/>
      <c r="K216" s="87"/>
      <c r="L216" s="87"/>
      <c r="M216" s="87"/>
      <c r="N216" s="87"/>
      <c r="O216" s="87"/>
      <c r="P216" s="88"/>
    </row>
    <row r="217" spans="1:16">
      <c r="A217" s="85"/>
      <c r="B217" s="86"/>
      <c r="C217" s="86"/>
      <c r="D217" s="87"/>
      <c r="E217" s="87"/>
      <c r="F217" s="87"/>
      <c r="G217" s="87"/>
      <c r="H217" s="87"/>
      <c r="I217" s="87"/>
      <c r="J217" s="87"/>
      <c r="K217" s="87"/>
      <c r="L217" s="87"/>
      <c r="M217" s="87"/>
      <c r="N217" s="87"/>
      <c r="O217" s="87"/>
      <c r="P217" s="88"/>
    </row>
    <row r="218" spans="1:16">
      <c r="A218" s="85"/>
      <c r="B218" s="86"/>
      <c r="C218" s="86"/>
      <c r="D218" s="87"/>
      <c r="E218" s="87"/>
      <c r="F218" s="87"/>
      <c r="G218" s="87"/>
      <c r="H218" s="87"/>
      <c r="I218" s="87"/>
      <c r="J218" s="87"/>
      <c r="K218" s="87"/>
      <c r="L218" s="87"/>
      <c r="M218" s="87"/>
      <c r="N218" s="87"/>
      <c r="O218" s="87"/>
      <c r="P218" s="88"/>
    </row>
    <row r="219" spans="1:16">
      <c r="A219" s="85"/>
      <c r="B219" s="86"/>
      <c r="C219" s="86"/>
      <c r="D219" s="87"/>
      <c r="E219" s="87"/>
      <c r="F219" s="87"/>
      <c r="G219" s="87"/>
      <c r="H219" s="87"/>
      <c r="I219" s="87"/>
      <c r="J219" s="87"/>
      <c r="K219" s="87"/>
      <c r="L219" s="87"/>
      <c r="M219" s="87"/>
      <c r="N219" s="87"/>
      <c r="O219" s="87"/>
      <c r="P219" s="88"/>
    </row>
    <row r="220" spans="1:16">
      <c r="A220" s="85"/>
      <c r="B220" s="86"/>
      <c r="C220" s="86"/>
      <c r="D220" s="87"/>
      <c r="E220" s="87"/>
      <c r="F220" s="87"/>
      <c r="G220" s="87"/>
      <c r="H220" s="87"/>
      <c r="I220" s="87"/>
      <c r="J220" s="87"/>
      <c r="K220" s="87"/>
      <c r="L220" s="87"/>
      <c r="M220" s="87"/>
      <c r="N220" s="87"/>
      <c r="O220" s="87"/>
      <c r="P220" s="88"/>
    </row>
    <row r="221" spans="1:16">
      <c r="A221" s="85"/>
      <c r="B221" s="86"/>
      <c r="C221" s="86"/>
      <c r="D221" s="87"/>
      <c r="E221" s="87"/>
      <c r="F221" s="87"/>
      <c r="G221" s="87"/>
      <c r="H221" s="87"/>
      <c r="I221" s="87"/>
      <c r="J221" s="87"/>
      <c r="K221" s="87"/>
      <c r="L221" s="87"/>
      <c r="M221" s="87"/>
      <c r="N221" s="87"/>
      <c r="O221" s="87"/>
      <c r="P221" s="88"/>
    </row>
    <row r="222" spans="1:16">
      <c r="A222" s="85"/>
      <c r="B222" s="86"/>
      <c r="C222" s="86"/>
      <c r="D222" s="87"/>
      <c r="E222" s="87"/>
      <c r="F222" s="87"/>
      <c r="G222" s="87"/>
      <c r="H222" s="87"/>
      <c r="I222" s="87"/>
      <c r="J222" s="87"/>
      <c r="K222" s="87"/>
      <c r="L222" s="87"/>
      <c r="M222" s="87"/>
      <c r="N222" s="87"/>
      <c r="O222" s="87"/>
      <c r="P222" s="88"/>
    </row>
    <row r="223" spans="1:16">
      <c r="A223" s="85"/>
      <c r="B223" s="86"/>
      <c r="C223" s="86"/>
      <c r="D223" s="87"/>
      <c r="E223" s="87"/>
      <c r="F223" s="87"/>
      <c r="G223" s="87"/>
      <c r="H223" s="87"/>
      <c r="I223" s="87"/>
      <c r="J223" s="87"/>
      <c r="K223" s="87"/>
      <c r="L223" s="87"/>
      <c r="M223" s="87"/>
      <c r="N223" s="87"/>
      <c r="O223" s="87"/>
      <c r="P223" s="88"/>
    </row>
    <row r="224" spans="1:16">
      <c r="A224" s="85"/>
      <c r="B224" s="86"/>
      <c r="C224" s="86"/>
      <c r="D224" s="87"/>
      <c r="E224" s="87"/>
      <c r="F224" s="87"/>
      <c r="G224" s="87"/>
      <c r="H224" s="87"/>
      <c r="I224" s="87"/>
      <c r="J224" s="87"/>
      <c r="K224" s="87"/>
      <c r="L224" s="87"/>
      <c r="M224" s="87"/>
      <c r="N224" s="87"/>
      <c r="O224" s="87"/>
      <c r="P224" s="88"/>
    </row>
    <row r="225" spans="1:16">
      <c r="A225" s="85"/>
      <c r="B225" s="86"/>
      <c r="C225" s="86"/>
      <c r="D225" s="87"/>
      <c r="E225" s="87"/>
      <c r="F225" s="87"/>
      <c r="G225" s="87"/>
      <c r="H225" s="87"/>
      <c r="I225" s="87"/>
      <c r="J225" s="87"/>
      <c r="K225" s="87"/>
      <c r="L225" s="87"/>
      <c r="M225" s="87"/>
      <c r="N225" s="87"/>
      <c r="O225" s="87"/>
      <c r="P225" s="88"/>
    </row>
    <row r="226" spans="1:16">
      <c r="A226" s="85"/>
      <c r="B226" s="86"/>
      <c r="C226" s="86"/>
      <c r="D226" s="87"/>
      <c r="E226" s="87"/>
      <c r="F226" s="87"/>
      <c r="G226" s="87"/>
      <c r="H226" s="87"/>
      <c r="I226" s="87"/>
      <c r="J226" s="87"/>
      <c r="K226" s="87"/>
      <c r="L226" s="87"/>
      <c r="M226" s="87"/>
      <c r="N226" s="87"/>
      <c r="O226" s="87"/>
      <c r="P226" s="88"/>
    </row>
    <row r="227" spans="1:16">
      <c r="A227" s="85"/>
      <c r="B227" s="86"/>
      <c r="C227" s="86"/>
      <c r="D227" s="87"/>
      <c r="E227" s="87"/>
      <c r="F227" s="87"/>
      <c r="G227" s="87"/>
      <c r="H227" s="87"/>
      <c r="I227" s="87"/>
      <c r="J227" s="87"/>
      <c r="K227" s="87"/>
      <c r="L227" s="87"/>
      <c r="M227" s="87"/>
      <c r="N227" s="87"/>
      <c r="O227" s="87"/>
      <c r="P227" s="88"/>
    </row>
    <row r="228" spans="1:16">
      <c r="A228" s="85"/>
      <c r="B228" s="86"/>
      <c r="C228" s="86"/>
      <c r="D228" s="87"/>
      <c r="E228" s="87"/>
      <c r="F228" s="87"/>
      <c r="G228" s="87"/>
      <c r="H228" s="87"/>
      <c r="I228" s="87"/>
      <c r="J228" s="87"/>
      <c r="K228" s="87"/>
      <c r="L228" s="87"/>
      <c r="M228" s="87"/>
      <c r="N228" s="87"/>
      <c r="O228" s="87"/>
      <c r="P228" s="88"/>
    </row>
    <row r="229" spans="1:16">
      <c r="A229" s="85"/>
      <c r="B229" s="86"/>
      <c r="C229" s="86"/>
      <c r="D229" s="87"/>
      <c r="E229" s="87"/>
      <c r="F229" s="87"/>
      <c r="G229" s="87"/>
      <c r="H229" s="87"/>
      <c r="I229" s="87"/>
      <c r="J229" s="87"/>
      <c r="K229" s="87"/>
      <c r="L229" s="87"/>
      <c r="M229" s="87"/>
      <c r="N229" s="87"/>
      <c r="O229" s="87"/>
      <c r="P229" s="88"/>
    </row>
    <row r="230" spans="1:16">
      <c r="A230" s="85"/>
      <c r="B230" s="86"/>
      <c r="C230" s="86"/>
      <c r="D230" s="87"/>
      <c r="E230" s="87"/>
      <c r="F230" s="87"/>
      <c r="G230" s="87"/>
      <c r="H230" s="87"/>
      <c r="I230" s="87"/>
      <c r="J230" s="87"/>
      <c r="K230" s="87"/>
      <c r="L230" s="87"/>
      <c r="M230" s="87"/>
      <c r="N230" s="87"/>
      <c r="O230" s="87"/>
      <c r="P230" s="88"/>
    </row>
    <row r="231" spans="1:16">
      <c r="A231" s="85"/>
      <c r="B231" s="86"/>
      <c r="C231" s="86"/>
      <c r="D231" s="87"/>
      <c r="E231" s="87"/>
      <c r="F231" s="87"/>
      <c r="G231" s="87"/>
      <c r="H231" s="87"/>
      <c r="I231" s="87"/>
      <c r="J231" s="87"/>
      <c r="K231" s="87"/>
      <c r="L231" s="87"/>
      <c r="M231" s="87"/>
      <c r="N231" s="87"/>
      <c r="O231" s="87"/>
      <c r="P231" s="88"/>
    </row>
    <row r="232" spans="1:16">
      <c r="A232" s="85"/>
      <c r="B232" s="86"/>
      <c r="C232" s="86"/>
      <c r="D232" s="87"/>
      <c r="E232" s="87"/>
      <c r="F232" s="87"/>
      <c r="G232" s="87"/>
      <c r="H232" s="87"/>
      <c r="I232" s="87"/>
      <c r="J232" s="87"/>
      <c r="K232" s="87"/>
      <c r="L232" s="87"/>
      <c r="M232" s="87"/>
      <c r="N232" s="87"/>
      <c r="O232" s="87"/>
      <c r="P232" s="88"/>
    </row>
    <row r="233" spans="1:16">
      <c r="A233" s="85"/>
      <c r="B233" s="86"/>
      <c r="C233" s="86"/>
      <c r="D233" s="87"/>
      <c r="E233" s="87"/>
      <c r="F233" s="87"/>
      <c r="G233" s="87"/>
      <c r="H233" s="87"/>
      <c r="I233" s="87"/>
      <c r="J233" s="87"/>
      <c r="K233" s="87"/>
      <c r="L233" s="87"/>
      <c r="M233" s="87"/>
      <c r="N233" s="87"/>
      <c r="O233" s="87"/>
      <c r="P233" s="88"/>
    </row>
    <row r="234" spans="1:16">
      <c r="A234" s="85"/>
      <c r="B234" s="86"/>
      <c r="C234" s="86"/>
      <c r="D234" s="87"/>
      <c r="E234" s="87"/>
      <c r="F234" s="87"/>
      <c r="G234" s="87"/>
      <c r="H234" s="87"/>
      <c r="I234" s="87"/>
      <c r="J234" s="87"/>
      <c r="K234" s="87"/>
      <c r="L234" s="87"/>
      <c r="M234" s="87"/>
      <c r="N234" s="87"/>
      <c r="O234" s="87"/>
      <c r="P234" s="88"/>
    </row>
    <row r="235" spans="1:16">
      <c r="A235" s="85"/>
      <c r="B235" s="86"/>
      <c r="C235" s="86"/>
      <c r="D235" s="87"/>
      <c r="E235" s="87"/>
      <c r="F235" s="87"/>
      <c r="G235" s="87"/>
      <c r="H235" s="87"/>
      <c r="I235" s="87"/>
      <c r="J235" s="87"/>
      <c r="K235" s="87"/>
      <c r="L235" s="87"/>
      <c r="M235" s="87"/>
      <c r="N235" s="87"/>
      <c r="O235" s="87"/>
      <c r="P235" s="88"/>
    </row>
    <row r="236" spans="1:16">
      <c r="A236" s="85"/>
      <c r="B236" s="86"/>
      <c r="C236" s="86"/>
      <c r="D236" s="87"/>
      <c r="E236" s="87"/>
      <c r="F236" s="87"/>
      <c r="G236" s="87"/>
      <c r="H236" s="87"/>
      <c r="I236" s="87"/>
      <c r="J236" s="87"/>
      <c r="K236" s="87"/>
      <c r="L236" s="87"/>
      <c r="M236" s="87"/>
      <c r="N236" s="87"/>
      <c r="O236" s="87"/>
      <c r="P236" s="88"/>
    </row>
    <row r="237" spans="1:16">
      <c r="A237" s="85"/>
      <c r="B237" s="86"/>
      <c r="C237" s="86"/>
      <c r="D237" s="87"/>
      <c r="E237" s="87"/>
      <c r="F237" s="87"/>
      <c r="G237" s="87"/>
      <c r="H237" s="87"/>
      <c r="I237" s="87"/>
      <c r="J237" s="87"/>
      <c r="K237" s="87"/>
      <c r="L237" s="87"/>
      <c r="M237" s="87"/>
      <c r="N237" s="87"/>
      <c r="O237" s="87"/>
      <c r="P237" s="88"/>
    </row>
    <row r="238" spans="1:16">
      <c r="A238" s="85"/>
      <c r="B238" s="86"/>
      <c r="C238" s="86"/>
      <c r="D238" s="87"/>
      <c r="E238" s="87"/>
      <c r="F238" s="87"/>
      <c r="G238" s="87"/>
      <c r="H238" s="87"/>
      <c r="I238" s="87"/>
      <c r="J238" s="87"/>
      <c r="K238" s="87"/>
      <c r="L238" s="87"/>
      <c r="M238" s="87"/>
      <c r="N238" s="87"/>
      <c r="O238" s="87"/>
      <c r="P238" s="88"/>
    </row>
    <row r="239" spans="1:16">
      <c r="A239" s="85"/>
      <c r="B239" s="86"/>
      <c r="C239" s="86"/>
      <c r="D239" s="87"/>
      <c r="E239" s="87"/>
      <c r="F239" s="87"/>
      <c r="G239" s="87"/>
      <c r="H239" s="87"/>
      <c r="I239" s="87"/>
      <c r="J239" s="87"/>
      <c r="K239" s="87"/>
      <c r="L239" s="87"/>
      <c r="M239" s="87"/>
      <c r="N239" s="87"/>
      <c r="O239" s="87"/>
      <c r="P239" s="88"/>
    </row>
    <row r="240" spans="1:16">
      <c r="A240" s="85"/>
      <c r="B240" s="86"/>
      <c r="C240" s="86"/>
      <c r="D240" s="87"/>
      <c r="E240" s="87"/>
      <c r="F240" s="87"/>
      <c r="G240" s="87"/>
      <c r="H240" s="87"/>
      <c r="I240" s="87"/>
      <c r="J240" s="87"/>
      <c r="K240" s="87"/>
      <c r="L240" s="87"/>
      <c r="M240" s="87"/>
      <c r="N240" s="87"/>
      <c r="O240" s="87"/>
      <c r="P240" s="88"/>
    </row>
    <row r="241" spans="1:16">
      <c r="A241" s="85"/>
      <c r="B241" s="86"/>
      <c r="C241" s="86"/>
      <c r="D241" s="87"/>
      <c r="E241" s="87"/>
      <c r="F241" s="87"/>
      <c r="G241" s="87"/>
      <c r="H241" s="87"/>
      <c r="I241" s="87"/>
      <c r="J241" s="87"/>
      <c r="K241" s="87"/>
      <c r="L241" s="87"/>
      <c r="M241" s="87"/>
      <c r="N241" s="87"/>
      <c r="O241" s="87"/>
      <c r="P241" s="88"/>
    </row>
    <row r="242" spans="1:16">
      <c r="A242" s="85"/>
      <c r="B242" s="86"/>
      <c r="C242" s="86"/>
      <c r="D242" s="87"/>
      <c r="E242" s="87"/>
      <c r="F242" s="87"/>
      <c r="G242" s="87"/>
      <c r="H242" s="87"/>
      <c r="I242" s="87"/>
      <c r="J242" s="87"/>
      <c r="K242" s="87"/>
      <c r="L242" s="87"/>
      <c r="M242" s="87"/>
      <c r="N242" s="87"/>
      <c r="O242" s="87"/>
      <c r="P242" s="88"/>
    </row>
    <row r="243" spans="1:16">
      <c r="A243" s="85"/>
      <c r="B243" s="86"/>
      <c r="C243" s="86"/>
      <c r="D243" s="87"/>
      <c r="E243" s="87"/>
      <c r="F243" s="87"/>
      <c r="G243" s="87"/>
      <c r="H243" s="87"/>
      <c r="I243" s="87"/>
      <c r="J243" s="87"/>
      <c r="K243" s="87"/>
      <c r="L243" s="87"/>
      <c r="M243" s="87"/>
      <c r="N243" s="87"/>
      <c r="O243" s="87"/>
      <c r="P243" s="88"/>
    </row>
    <row r="244" spans="1:16">
      <c r="A244" s="85"/>
      <c r="B244" s="86"/>
      <c r="C244" s="86"/>
      <c r="D244" s="87"/>
      <c r="E244" s="87"/>
      <c r="F244" s="87"/>
      <c r="G244" s="87"/>
      <c r="H244" s="87"/>
      <c r="I244" s="87"/>
      <c r="J244" s="87"/>
      <c r="K244" s="87"/>
      <c r="L244" s="87"/>
      <c r="M244" s="87"/>
      <c r="N244" s="87"/>
      <c r="O244" s="87"/>
      <c r="P244" s="88"/>
    </row>
    <row r="245" spans="1:16">
      <c r="A245" s="85"/>
      <c r="B245" s="86"/>
      <c r="C245" s="86"/>
      <c r="D245" s="87"/>
      <c r="E245" s="87"/>
      <c r="F245" s="87"/>
      <c r="G245" s="87"/>
      <c r="H245" s="87"/>
      <c r="I245" s="87"/>
      <c r="J245" s="87"/>
      <c r="K245" s="87"/>
      <c r="L245" s="87"/>
      <c r="M245" s="87"/>
      <c r="N245" s="87"/>
      <c r="O245" s="87"/>
      <c r="P245" s="88"/>
    </row>
    <row r="246" spans="1:16">
      <c r="A246" s="85"/>
      <c r="B246" s="86"/>
      <c r="C246" s="86"/>
      <c r="D246" s="87"/>
      <c r="E246" s="87"/>
      <c r="F246" s="87"/>
      <c r="G246" s="87"/>
      <c r="H246" s="87"/>
      <c r="I246" s="87"/>
      <c r="J246" s="87"/>
      <c r="K246" s="87"/>
      <c r="L246" s="87"/>
      <c r="M246" s="87"/>
      <c r="N246" s="87"/>
      <c r="O246" s="87"/>
      <c r="P246" s="88"/>
    </row>
    <row r="247" spans="1:16">
      <c r="A247" s="85"/>
      <c r="B247" s="86"/>
      <c r="C247" s="86"/>
      <c r="D247" s="87"/>
      <c r="E247" s="87"/>
      <c r="F247" s="87"/>
      <c r="G247" s="87"/>
      <c r="H247" s="87"/>
      <c r="I247" s="87"/>
      <c r="J247" s="87"/>
      <c r="K247" s="87"/>
      <c r="L247" s="87"/>
      <c r="M247" s="87"/>
      <c r="N247" s="87"/>
      <c r="O247" s="87"/>
      <c r="P247" s="88"/>
    </row>
    <row r="248" spans="1:16">
      <c r="A248" s="85"/>
      <c r="B248" s="86"/>
      <c r="C248" s="86"/>
      <c r="D248" s="87"/>
      <c r="E248" s="87"/>
      <c r="F248" s="87"/>
      <c r="G248" s="87"/>
      <c r="H248" s="87"/>
      <c r="I248" s="87"/>
      <c r="J248" s="87"/>
      <c r="K248" s="87"/>
      <c r="L248" s="87"/>
      <c r="M248" s="87"/>
      <c r="N248" s="87"/>
      <c r="O248" s="87"/>
      <c r="P248" s="88"/>
    </row>
    <row r="249" spans="1:16">
      <c r="A249" s="85"/>
      <c r="B249" s="86"/>
      <c r="C249" s="86"/>
      <c r="D249" s="87"/>
      <c r="E249" s="87"/>
      <c r="F249" s="87"/>
      <c r="G249" s="87"/>
      <c r="H249" s="87"/>
      <c r="I249" s="87"/>
      <c r="J249" s="87"/>
      <c r="K249" s="87"/>
      <c r="L249" s="87"/>
      <c r="M249" s="87"/>
      <c r="N249" s="87"/>
      <c r="O249" s="87"/>
      <c r="P249" s="88"/>
    </row>
    <row r="250" spans="1:16">
      <c r="A250" s="85"/>
      <c r="B250" s="86"/>
      <c r="C250" s="86"/>
      <c r="D250" s="87"/>
      <c r="E250" s="87"/>
      <c r="F250" s="87"/>
      <c r="G250" s="87"/>
      <c r="H250" s="87"/>
      <c r="I250" s="87"/>
      <c r="J250" s="87"/>
      <c r="K250" s="87"/>
      <c r="L250" s="87"/>
      <c r="M250" s="87"/>
      <c r="N250" s="87"/>
      <c r="O250" s="87"/>
      <c r="P250" s="88"/>
    </row>
    <row r="251" spans="1:16">
      <c r="A251" s="85"/>
      <c r="B251" s="86"/>
      <c r="C251" s="86"/>
      <c r="D251" s="87"/>
      <c r="E251" s="87"/>
      <c r="F251" s="87"/>
      <c r="G251" s="87"/>
      <c r="H251" s="87"/>
      <c r="I251" s="87"/>
      <c r="J251" s="87"/>
      <c r="K251" s="87"/>
      <c r="L251" s="87"/>
      <c r="M251" s="87"/>
      <c r="N251" s="87"/>
      <c r="O251" s="87"/>
      <c r="P251" s="88"/>
    </row>
    <row r="252" spans="1:16">
      <c r="A252" s="85"/>
      <c r="B252" s="86"/>
      <c r="C252" s="86"/>
      <c r="D252" s="87"/>
      <c r="E252" s="87"/>
      <c r="F252" s="87"/>
      <c r="G252" s="87"/>
      <c r="H252" s="87"/>
      <c r="I252" s="87"/>
      <c r="J252" s="87"/>
      <c r="K252" s="87"/>
      <c r="L252" s="87"/>
      <c r="M252" s="87"/>
      <c r="N252" s="87"/>
      <c r="O252" s="87"/>
      <c r="P252" s="88"/>
    </row>
    <row r="253" spans="1:16">
      <c r="A253" s="85"/>
      <c r="B253" s="86"/>
      <c r="C253" s="86"/>
      <c r="D253" s="87"/>
      <c r="E253" s="87"/>
      <c r="F253" s="87"/>
      <c r="G253" s="87"/>
      <c r="H253" s="87"/>
      <c r="I253" s="87"/>
      <c r="J253" s="87"/>
      <c r="K253" s="87"/>
      <c r="L253" s="87"/>
      <c r="M253" s="87"/>
      <c r="N253" s="87"/>
      <c r="O253" s="87"/>
      <c r="P253" s="88"/>
    </row>
    <row r="254" spans="1:16">
      <c r="A254" s="85"/>
      <c r="B254" s="86"/>
      <c r="C254" s="86"/>
      <c r="D254" s="87"/>
      <c r="E254" s="87"/>
      <c r="F254" s="87"/>
      <c r="G254" s="87"/>
      <c r="H254" s="87"/>
      <c r="I254" s="87"/>
      <c r="J254" s="87"/>
      <c r="K254" s="87"/>
      <c r="L254" s="87"/>
      <c r="M254" s="87"/>
      <c r="N254" s="87"/>
      <c r="O254" s="87"/>
      <c r="P254" s="88"/>
    </row>
    <row r="255" spans="1:16">
      <c r="A255" s="85"/>
      <c r="B255" s="86"/>
      <c r="C255" s="86"/>
      <c r="D255" s="87"/>
      <c r="E255" s="87"/>
      <c r="F255" s="87"/>
      <c r="G255" s="87"/>
      <c r="H255" s="87"/>
      <c r="I255" s="87"/>
      <c r="J255" s="87"/>
      <c r="K255" s="87"/>
      <c r="L255" s="87"/>
      <c r="M255" s="87"/>
      <c r="N255" s="87"/>
      <c r="O255" s="87"/>
      <c r="P255" s="88"/>
    </row>
    <row r="256" spans="1:16">
      <c r="A256" s="85"/>
      <c r="B256" s="86"/>
      <c r="C256" s="86"/>
      <c r="D256" s="87"/>
      <c r="E256" s="87"/>
      <c r="F256" s="87"/>
      <c r="G256" s="87"/>
      <c r="H256" s="87"/>
      <c r="I256" s="87"/>
      <c r="J256" s="87"/>
      <c r="K256" s="87"/>
      <c r="L256" s="87"/>
      <c r="M256" s="87"/>
      <c r="N256" s="87"/>
      <c r="O256" s="87"/>
      <c r="P256" s="88"/>
    </row>
    <row r="257" spans="1:16">
      <c r="A257" s="85"/>
      <c r="B257" s="86"/>
      <c r="C257" s="86"/>
      <c r="D257" s="87"/>
      <c r="E257" s="87"/>
      <c r="F257" s="87"/>
      <c r="G257" s="87"/>
      <c r="H257" s="87"/>
      <c r="I257" s="87"/>
      <c r="J257" s="87"/>
      <c r="K257" s="87"/>
      <c r="L257" s="87"/>
      <c r="M257" s="87"/>
      <c r="N257" s="87"/>
      <c r="O257" s="87"/>
      <c r="P257" s="88"/>
    </row>
    <row r="258" spans="1:16">
      <c r="A258" s="85"/>
      <c r="B258" s="86"/>
      <c r="C258" s="86"/>
      <c r="D258" s="87"/>
      <c r="E258" s="87"/>
      <c r="F258" s="87"/>
      <c r="G258" s="87"/>
      <c r="H258" s="87"/>
      <c r="I258" s="87"/>
      <c r="J258" s="87"/>
      <c r="K258" s="87"/>
      <c r="L258" s="87"/>
      <c r="M258" s="87"/>
      <c r="N258" s="87"/>
      <c r="O258" s="87"/>
      <c r="P258" s="88"/>
    </row>
    <row r="259" spans="1:16">
      <c r="A259" s="85"/>
      <c r="B259" s="86"/>
      <c r="C259" s="86"/>
      <c r="D259" s="87"/>
      <c r="E259" s="87"/>
      <c r="F259" s="87"/>
      <c r="G259" s="87"/>
      <c r="H259" s="87"/>
      <c r="I259" s="87"/>
      <c r="J259" s="87"/>
      <c r="K259" s="87"/>
      <c r="L259" s="87"/>
      <c r="M259" s="87"/>
      <c r="N259" s="87"/>
      <c r="O259" s="87"/>
      <c r="P259" s="88"/>
    </row>
    <row r="260" spans="1:16">
      <c r="A260" s="85"/>
      <c r="B260" s="86"/>
      <c r="C260" s="86"/>
      <c r="D260" s="87"/>
      <c r="E260" s="87"/>
      <c r="F260" s="87"/>
      <c r="G260" s="87"/>
      <c r="H260" s="87"/>
      <c r="I260" s="87"/>
      <c r="J260" s="87"/>
      <c r="K260" s="87"/>
      <c r="L260" s="87"/>
      <c r="M260" s="87"/>
      <c r="N260" s="87"/>
      <c r="O260" s="87"/>
      <c r="P260" s="88"/>
    </row>
    <row r="261" spans="1:16">
      <c r="A261" s="85"/>
      <c r="B261" s="86"/>
      <c r="C261" s="86"/>
      <c r="D261" s="87"/>
      <c r="E261" s="87"/>
      <c r="F261" s="87"/>
      <c r="G261" s="87"/>
      <c r="H261" s="87"/>
      <c r="I261" s="87"/>
      <c r="J261" s="87"/>
      <c r="K261" s="87"/>
      <c r="L261" s="87"/>
      <c r="M261" s="87"/>
      <c r="N261" s="87"/>
      <c r="O261" s="87"/>
      <c r="P261" s="88"/>
    </row>
    <row r="262" spans="1:16">
      <c r="A262" s="85"/>
      <c r="B262" s="86"/>
      <c r="C262" s="86"/>
      <c r="D262" s="87"/>
      <c r="E262" s="87"/>
      <c r="F262" s="87"/>
      <c r="G262" s="87"/>
      <c r="H262" s="87"/>
      <c r="I262" s="87"/>
      <c r="J262" s="87"/>
      <c r="K262" s="87"/>
      <c r="L262" s="87"/>
      <c r="M262" s="87"/>
      <c r="N262" s="87"/>
      <c r="O262" s="87"/>
      <c r="P262" s="88"/>
    </row>
    <row r="263" spans="1:16">
      <c r="A263" s="85"/>
      <c r="B263" s="86"/>
      <c r="C263" s="86"/>
      <c r="D263" s="87"/>
      <c r="E263" s="87"/>
      <c r="F263" s="87"/>
      <c r="G263" s="87"/>
      <c r="H263" s="87"/>
      <c r="I263" s="87"/>
      <c r="J263" s="87"/>
      <c r="K263" s="87"/>
      <c r="L263" s="87"/>
      <c r="M263" s="87"/>
      <c r="N263" s="87"/>
      <c r="O263" s="87"/>
      <c r="P263" s="88"/>
    </row>
    <row r="264" spans="1:16">
      <c r="A264" s="85"/>
      <c r="B264" s="86"/>
      <c r="C264" s="86"/>
      <c r="D264" s="87"/>
      <c r="E264" s="87"/>
      <c r="F264" s="87"/>
      <c r="G264" s="87"/>
      <c r="H264" s="87"/>
      <c r="I264" s="87"/>
      <c r="J264" s="87"/>
      <c r="K264" s="87"/>
      <c r="L264" s="87"/>
      <c r="M264" s="87"/>
      <c r="N264" s="87"/>
      <c r="O264" s="87"/>
      <c r="P264" s="88"/>
    </row>
    <row r="265" spans="1:16">
      <c r="A265" s="85"/>
      <c r="B265" s="86"/>
      <c r="C265" s="86"/>
      <c r="D265" s="87"/>
      <c r="E265" s="87"/>
      <c r="F265" s="87"/>
      <c r="G265" s="87"/>
      <c r="H265" s="87"/>
      <c r="I265" s="87"/>
      <c r="J265" s="87"/>
      <c r="K265" s="87"/>
      <c r="L265" s="87"/>
      <c r="M265" s="87"/>
      <c r="N265" s="87"/>
      <c r="O265" s="87"/>
      <c r="P265" s="88"/>
    </row>
    <row r="266" spans="1:16">
      <c r="A266" s="85"/>
      <c r="B266" s="86"/>
      <c r="C266" s="86"/>
      <c r="D266" s="87"/>
      <c r="E266" s="87"/>
      <c r="F266" s="87"/>
      <c r="G266" s="87"/>
      <c r="H266" s="87"/>
      <c r="I266" s="87"/>
      <c r="J266" s="87"/>
      <c r="K266" s="87"/>
      <c r="L266" s="87"/>
      <c r="M266" s="87"/>
      <c r="N266" s="87"/>
      <c r="O266" s="87"/>
      <c r="P266" s="88"/>
    </row>
    <row r="267" spans="1:16">
      <c r="A267" s="85"/>
      <c r="B267" s="86"/>
      <c r="C267" s="86"/>
      <c r="D267" s="87"/>
      <c r="E267" s="87"/>
      <c r="F267" s="87"/>
      <c r="G267" s="87"/>
      <c r="H267" s="87"/>
      <c r="I267" s="87"/>
      <c r="J267" s="87"/>
      <c r="K267" s="87"/>
      <c r="L267" s="87"/>
      <c r="M267" s="87"/>
      <c r="N267" s="87"/>
      <c r="O267" s="87"/>
      <c r="P267" s="88"/>
    </row>
    <row r="268" spans="1:16">
      <c r="A268" s="85"/>
      <c r="B268" s="86"/>
      <c r="C268" s="86"/>
      <c r="D268" s="87"/>
      <c r="E268" s="87"/>
      <c r="F268" s="87"/>
      <c r="G268" s="87"/>
      <c r="H268" s="87"/>
      <c r="I268" s="87"/>
      <c r="J268" s="87"/>
      <c r="K268" s="87"/>
      <c r="L268" s="87"/>
      <c r="M268" s="87"/>
      <c r="N268" s="87"/>
      <c r="O268" s="87"/>
      <c r="P268" s="88"/>
    </row>
    <row r="269" spans="1:16">
      <c r="A269" s="85"/>
      <c r="B269" s="86"/>
      <c r="C269" s="86"/>
      <c r="D269" s="87"/>
      <c r="E269" s="87"/>
      <c r="F269" s="87"/>
      <c r="G269" s="87"/>
      <c r="H269" s="87"/>
      <c r="I269" s="87"/>
      <c r="J269" s="87"/>
      <c r="K269" s="87"/>
      <c r="L269" s="87"/>
      <c r="M269" s="87"/>
      <c r="N269" s="87"/>
      <c r="O269" s="87"/>
      <c r="P269" s="88"/>
    </row>
    <row r="270" spans="1:16">
      <c r="A270" s="85"/>
      <c r="B270" s="86"/>
      <c r="C270" s="86"/>
      <c r="D270" s="87"/>
      <c r="E270" s="87"/>
      <c r="F270" s="87"/>
      <c r="G270" s="87"/>
      <c r="H270" s="87"/>
      <c r="I270" s="87"/>
      <c r="J270" s="87"/>
      <c r="K270" s="87"/>
      <c r="L270" s="87"/>
      <c r="M270" s="87"/>
      <c r="N270" s="87"/>
      <c r="O270" s="87"/>
      <c r="P270" s="88"/>
    </row>
    <row r="271" spans="1:16">
      <c r="A271" s="85"/>
      <c r="B271" s="86"/>
      <c r="C271" s="86"/>
      <c r="D271" s="87"/>
      <c r="E271" s="87"/>
      <c r="F271" s="87"/>
      <c r="G271" s="87"/>
      <c r="H271" s="87"/>
      <c r="I271" s="87"/>
      <c r="J271" s="87"/>
      <c r="K271" s="87"/>
      <c r="L271" s="87"/>
      <c r="M271" s="87"/>
      <c r="N271" s="87"/>
      <c r="O271" s="87"/>
      <c r="P271" s="88"/>
    </row>
    <row r="272" spans="1:16">
      <c r="A272" s="85"/>
      <c r="B272" s="86"/>
      <c r="C272" s="86"/>
      <c r="D272" s="87"/>
      <c r="E272" s="87"/>
      <c r="F272" s="87"/>
      <c r="G272" s="87"/>
      <c r="H272" s="87"/>
      <c r="I272" s="87"/>
      <c r="J272" s="87"/>
      <c r="K272" s="87"/>
      <c r="L272" s="87"/>
      <c r="M272" s="87"/>
      <c r="N272" s="87"/>
      <c r="O272" s="87"/>
      <c r="P272" s="88"/>
    </row>
    <row r="273" spans="1:16">
      <c r="A273" s="85"/>
      <c r="B273" s="86"/>
      <c r="C273" s="86"/>
      <c r="D273" s="87"/>
      <c r="E273" s="87"/>
      <c r="F273" s="87"/>
      <c r="G273" s="87"/>
      <c r="H273" s="87"/>
      <c r="I273" s="87"/>
      <c r="J273" s="87"/>
      <c r="K273" s="87"/>
      <c r="L273" s="87"/>
      <c r="M273" s="87"/>
      <c r="N273" s="87"/>
      <c r="O273" s="87"/>
      <c r="P273" s="88"/>
    </row>
    <row r="274" spans="1:16">
      <c r="A274" s="85"/>
      <c r="B274" s="86"/>
      <c r="C274" s="86"/>
      <c r="D274" s="87"/>
      <c r="E274" s="87"/>
      <c r="F274" s="87"/>
      <c r="G274" s="87"/>
      <c r="H274" s="87"/>
      <c r="I274" s="87"/>
      <c r="J274" s="87"/>
      <c r="K274" s="87"/>
      <c r="L274" s="87"/>
      <c r="M274" s="87"/>
      <c r="N274" s="87"/>
      <c r="O274" s="87"/>
      <c r="P274" s="88"/>
    </row>
    <row r="275" spans="1:16">
      <c r="A275" s="85"/>
      <c r="B275" s="86"/>
      <c r="C275" s="86"/>
      <c r="D275" s="87"/>
      <c r="E275" s="87"/>
      <c r="F275" s="87"/>
      <c r="G275" s="87"/>
      <c r="H275" s="87"/>
      <c r="I275" s="87"/>
      <c r="J275" s="87"/>
      <c r="K275" s="87"/>
      <c r="L275" s="87"/>
      <c r="M275" s="87"/>
      <c r="N275" s="87"/>
      <c r="O275" s="87"/>
      <c r="P275" s="88"/>
    </row>
    <row r="276" spans="1:16">
      <c r="A276" s="85"/>
      <c r="B276" s="86"/>
      <c r="C276" s="86"/>
      <c r="D276" s="87"/>
      <c r="E276" s="87"/>
      <c r="F276" s="87"/>
      <c r="G276" s="87"/>
      <c r="H276" s="87"/>
      <c r="I276" s="87"/>
      <c r="J276" s="87"/>
      <c r="K276" s="87"/>
      <c r="L276" s="87"/>
      <c r="M276" s="87"/>
      <c r="N276" s="87"/>
      <c r="O276" s="87"/>
      <c r="P276" s="88"/>
    </row>
    <row r="277" spans="1:16">
      <c r="A277" s="85"/>
      <c r="B277" s="86"/>
      <c r="C277" s="86"/>
      <c r="D277" s="87"/>
      <c r="E277" s="87"/>
      <c r="F277" s="87"/>
      <c r="G277" s="87"/>
      <c r="H277" s="87"/>
      <c r="I277" s="87"/>
      <c r="J277" s="87"/>
      <c r="K277" s="87"/>
      <c r="L277" s="87"/>
      <c r="M277" s="87"/>
      <c r="N277" s="87"/>
      <c r="O277" s="87"/>
      <c r="P277" s="88"/>
    </row>
    <row r="278" spans="1:16">
      <c r="A278" s="85"/>
      <c r="B278" s="86"/>
      <c r="C278" s="86"/>
      <c r="D278" s="87"/>
      <c r="E278" s="87"/>
      <c r="F278" s="87"/>
      <c r="G278" s="87"/>
      <c r="H278" s="87"/>
      <c r="I278" s="87"/>
      <c r="J278" s="87"/>
      <c r="K278" s="87"/>
      <c r="L278" s="87"/>
      <c r="M278" s="87"/>
      <c r="N278" s="87"/>
      <c r="O278" s="87"/>
      <c r="P278" s="88"/>
    </row>
    <row r="279" spans="1:16">
      <c r="A279" s="85"/>
      <c r="B279" s="86"/>
      <c r="C279" s="86"/>
      <c r="D279" s="87"/>
      <c r="E279" s="87"/>
      <c r="F279" s="87"/>
      <c r="G279" s="87"/>
      <c r="H279" s="87"/>
      <c r="I279" s="87"/>
      <c r="J279" s="87"/>
      <c r="K279" s="87"/>
      <c r="L279" s="87"/>
      <c r="M279" s="87"/>
      <c r="N279" s="87"/>
      <c r="O279" s="87"/>
      <c r="P279" s="88"/>
    </row>
    <row r="280" spans="1:16">
      <c r="A280" s="85"/>
      <c r="B280" s="86"/>
      <c r="C280" s="86"/>
      <c r="D280" s="87"/>
      <c r="E280" s="87"/>
      <c r="F280" s="87"/>
      <c r="G280" s="87"/>
      <c r="H280" s="87"/>
      <c r="I280" s="87"/>
      <c r="J280" s="87"/>
      <c r="K280" s="87"/>
      <c r="L280" s="87"/>
      <c r="M280" s="87"/>
      <c r="N280" s="87"/>
      <c r="O280" s="87"/>
      <c r="P280" s="88"/>
    </row>
    <row r="281" spans="1:16">
      <c r="A281" s="85"/>
      <c r="B281" s="86"/>
      <c r="C281" s="86"/>
      <c r="D281" s="87"/>
      <c r="E281" s="87"/>
      <c r="F281" s="87"/>
      <c r="G281" s="87"/>
      <c r="H281" s="87"/>
      <c r="I281" s="87"/>
      <c r="J281" s="87"/>
      <c r="K281" s="87"/>
      <c r="L281" s="87"/>
      <c r="M281" s="87"/>
      <c r="N281" s="87"/>
      <c r="O281" s="87"/>
      <c r="P281" s="88"/>
    </row>
    <row r="282" spans="1:16">
      <c r="A282" s="85"/>
      <c r="B282" s="86"/>
      <c r="C282" s="86"/>
      <c r="D282" s="87"/>
      <c r="E282" s="87"/>
      <c r="F282" s="87"/>
      <c r="G282" s="87"/>
      <c r="H282" s="87"/>
      <c r="I282" s="87"/>
      <c r="J282" s="87"/>
      <c r="K282" s="87"/>
      <c r="L282" s="87"/>
      <c r="M282" s="87"/>
      <c r="N282" s="87"/>
      <c r="O282" s="87"/>
      <c r="P282" s="88"/>
    </row>
    <row r="283" spans="1:16">
      <c r="A283" s="85"/>
      <c r="B283" s="86"/>
      <c r="C283" s="86"/>
      <c r="D283" s="87"/>
      <c r="E283" s="87"/>
      <c r="F283" s="87"/>
      <c r="G283" s="87"/>
      <c r="H283" s="87"/>
      <c r="I283" s="87"/>
      <c r="J283" s="87"/>
      <c r="K283" s="87"/>
      <c r="L283" s="87"/>
      <c r="M283" s="87"/>
      <c r="N283" s="87"/>
      <c r="O283" s="87"/>
      <c r="P283" s="88"/>
    </row>
    <row r="284" spans="1:16">
      <c r="A284" s="85"/>
      <c r="B284" s="86"/>
      <c r="C284" s="86"/>
      <c r="D284" s="87"/>
      <c r="E284" s="87"/>
      <c r="F284" s="87"/>
      <c r="G284" s="87"/>
      <c r="H284" s="87"/>
      <c r="I284" s="87"/>
      <c r="J284" s="87"/>
      <c r="K284" s="87"/>
      <c r="L284" s="87"/>
      <c r="M284" s="87"/>
      <c r="N284" s="87"/>
      <c r="O284" s="87"/>
      <c r="P284" s="88"/>
    </row>
    <row r="285" spans="1:16">
      <c r="A285" s="85"/>
      <c r="B285" s="86"/>
      <c r="C285" s="86"/>
      <c r="D285" s="87"/>
      <c r="E285" s="87"/>
      <c r="F285" s="87"/>
      <c r="G285" s="87"/>
      <c r="H285" s="87"/>
      <c r="I285" s="87"/>
      <c r="J285" s="87"/>
      <c r="K285" s="87"/>
      <c r="L285" s="87"/>
      <c r="M285" s="87"/>
      <c r="N285" s="87"/>
      <c r="O285" s="87"/>
      <c r="P285" s="88"/>
    </row>
    <row r="286" spans="1:16">
      <c r="A286" s="85"/>
      <c r="B286" s="86"/>
      <c r="C286" s="86"/>
      <c r="D286" s="87"/>
      <c r="E286" s="87"/>
      <c r="F286" s="87"/>
      <c r="G286" s="87"/>
      <c r="H286" s="87"/>
      <c r="I286" s="87"/>
      <c r="J286" s="87"/>
      <c r="K286" s="87"/>
      <c r="L286" s="87"/>
      <c r="M286" s="87"/>
      <c r="N286" s="87"/>
      <c r="O286" s="87"/>
      <c r="P286" s="88"/>
    </row>
    <row r="287" spans="1:16">
      <c r="A287" s="85"/>
      <c r="B287" s="86"/>
      <c r="C287" s="86"/>
      <c r="D287" s="87"/>
      <c r="E287" s="87"/>
      <c r="F287" s="87"/>
      <c r="G287" s="87"/>
      <c r="H287" s="87"/>
      <c r="I287" s="87"/>
      <c r="J287" s="87"/>
      <c r="K287" s="87"/>
      <c r="L287" s="87"/>
      <c r="M287" s="87"/>
      <c r="N287" s="87"/>
      <c r="O287" s="87"/>
      <c r="P287" s="88"/>
    </row>
    <row r="288" spans="1:16">
      <c r="A288" s="85"/>
      <c r="B288" s="86"/>
      <c r="C288" s="86"/>
      <c r="D288" s="87"/>
      <c r="E288" s="87"/>
      <c r="F288" s="87"/>
      <c r="G288" s="87"/>
      <c r="H288" s="87"/>
      <c r="I288" s="87"/>
      <c r="J288" s="87"/>
      <c r="K288" s="87"/>
      <c r="L288" s="87"/>
      <c r="M288" s="87"/>
      <c r="N288" s="87"/>
      <c r="O288" s="87"/>
      <c r="P288" s="88"/>
    </row>
    <row r="289" spans="1:16">
      <c r="A289" s="85"/>
      <c r="B289" s="86"/>
      <c r="C289" s="86"/>
      <c r="D289" s="87"/>
      <c r="E289" s="87"/>
      <c r="F289" s="87"/>
      <c r="G289" s="87"/>
      <c r="H289" s="87"/>
      <c r="I289" s="87"/>
      <c r="J289" s="87"/>
      <c r="K289" s="87"/>
      <c r="L289" s="87"/>
      <c r="M289" s="87"/>
      <c r="N289" s="87"/>
      <c r="O289" s="87"/>
      <c r="P289" s="88"/>
    </row>
    <row r="290" spans="1:16">
      <c r="A290" s="85"/>
      <c r="B290" s="86"/>
      <c r="C290" s="86"/>
      <c r="D290" s="87"/>
      <c r="E290" s="87"/>
      <c r="F290" s="87"/>
      <c r="G290" s="87"/>
      <c r="H290" s="87"/>
      <c r="I290" s="87"/>
      <c r="J290" s="87"/>
      <c r="K290" s="87"/>
      <c r="L290" s="87"/>
      <c r="M290" s="87"/>
      <c r="N290" s="87"/>
      <c r="O290" s="87"/>
      <c r="P290" s="88"/>
    </row>
    <row r="291" spans="1:16">
      <c r="A291" s="85"/>
      <c r="B291" s="86"/>
      <c r="C291" s="86"/>
      <c r="D291" s="87"/>
      <c r="E291" s="87"/>
      <c r="F291" s="87"/>
      <c r="G291" s="87"/>
      <c r="H291" s="87"/>
      <c r="I291" s="87"/>
      <c r="J291" s="87"/>
      <c r="K291" s="87"/>
      <c r="L291" s="87"/>
      <c r="M291" s="87"/>
      <c r="N291" s="87"/>
      <c r="O291" s="87"/>
      <c r="P291" s="88"/>
    </row>
    <row r="292" spans="1:16">
      <c r="A292" s="85"/>
      <c r="B292" s="86"/>
      <c r="C292" s="86"/>
      <c r="D292" s="87"/>
      <c r="E292" s="87"/>
      <c r="F292" s="87"/>
      <c r="G292" s="87"/>
      <c r="H292" s="87"/>
      <c r="I292" s="87"/>
      <c r="J292" s="87"/>
      <c r="K292" s="87"/>
      <c r="L292" s="87"/>
      <c r="M292" s="87"/>
      <c r="N292" s="87"/>
      <c r="O292" s="87"/>
      <c r="P292" s="88"/>
    </row>
    <row r="293" spans="1:16">
      <c r="A293" s="85"/>
      <c r="B293" s="86"/>
      <c r="C293" s="86"/>
      <c r="D293" s="87"/>
      <c r="E293" s="87"/>
      <c r="F293" s="87"/>
      <c r="G293" s="87"/>
      <c r="H293" s="87"/>
      <c r="I293" s="87"/>
      <c r="J293" s="87"/>
      <c r="K293" s="87"/>
      <c r="L293" s="87"/>
      <c r="M293" s="87"/>
      <c r="N293" s="87"/>
      <c r="O293" s="87"/>
      <c r="P293" s="88"/>
    </row>
    <row r="294" spans="1:16">
      <c r="A294" s="85"/>
      <c r="B294" s="86"/>
      <c r="C294" s="86"/>
      <c r="D294" s="87"/>
      <c r="E294" s="87"/>
      <c r="F294" s="87"/>
      <c r="G294" s="87"/>
      <c r="H294" s="87"/>
      <c r="I294" s="87"/>
      <c r="J294" s="87"/>
      <c r="K294" s="87"/>
      <c r="L294" s="87"/>
      <c r="M294" s="87"/>
      <c r="N294" s="87"/>
      <c r="O294" s="87"/>
      <c r="P294" s="88"/>
    </row>
    <row r="295" spans="1:16">
      <c r="A295" s="85"/>
      <c r="B295" s="86"/>
      <c r="C295" s="86"/>
      <c r="D295" s="87"/>
      <c r="E295" s="87"/>
      <c r="F295" s="87"/>
      <c r="G295" s="87"/>
      <c r="H295" s="87"/>
      <c r="I295" s="87"/>
      <c r="J295" s="87"/>
      <c r="K295" s="87"/>
      <c r="L295" s="87"/>
      <c r="M295" s="87"/>
      <c r="N295" s="87"/>
      <c r="O295" s="87"/>
      <c r="P295" s="88"/>
    </row>
  </sheetData>
  <mergeCells count="1">
    <mergeCell ref="C3:C42"/>
  </mergeCells>
  <phoneticPr fontId="19" type="noConversion"/>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59999389629810485"/>
    <pageSetUpPr fitToPage="1"/>
  </sheetPr>
  <dimension ref="A1:V295"/>
  <sheetViews>
    <sheetView workbookViewId="0">
      <pane xSplit="3" ySplit="2" topLeftCell="D3" activePane="bottomRight" state="frozen"/>
      <selection activeCell="J42" sqref="J42"/>
      <selection pane="topRight" activeCell="J42" sqref="J42"/>
      <selection pane="bottomLeft" activeCell="J42" sqref="J42"/>
      <selection pane="bottomRight" activeCell="J42" sqref="J42"/>
    </sheetView>
  </sheetViews>
  <sheetFormatPr baseColWidth="10" defaultColWidth="20.85546875" defaultRowHeight="12" x14ac:dyDescent="0"/>
  <cols>
    <col min="1" max="1" width="3.5703125" style="23" customWidth="1"/>
    <col min="2" max="2" width="32.42578125" style="4" customWidth="1"/>
    <col min="3" max="3" width="10.140625" style="4" customWidth="1"/>
    <col min="4" max="15" width="9.7109375" style="25" customWidth="1"/>
    <col min="16" max="16" width="44.85546875" style="3" customWidth="1"/>
    <col min="17" max="17" width="9.7109375" style="127" customWidth="1"/>
    <col min="18" max="18" width="10.140625" style="127" customWidth="1"/>
    <col min="19" max="22" width="8.7109375" style="127" customWidth="1"/>
    <col min="23" max="16384" width="20.85546875" style="86"/>
  </cols>
  <sheetData>
    <row r="1" spans="1:22" ht="27" customHeight="1">
      <c r="A1" s="1">
        <v>1</v>
      </c>
      <c r="B1" s="64" t="s">
        <v>163</v>
      </c>
      <c r="C1" s="23" t="s">
        <v>380</v>
      </c>
      <c r="D1" s="81" t="s">
        <v>290</v>
      </c>
      <c r="E1" s="79" t="str">
        <f>D1</f>
        <v>NN</v>
      </c>
      <c r="F1" s="79" t="str">
        <f t="shared" ref="F1:O1" si="0">E1</f>
        <v>NN</v>
      </c>
      <c r="G1" s="79" t="str">
        <f t="shared" si="0"/>
        <v>NN</v>
      </c>
      <c r="H1" s="79" t="str">
        <f t="shared" si="0"/>
        <v>NN</v>
      </c>
      <c r="I1" s="79" t="str">
        <f t="shared" si="0"/>
        <v>NN</v>
      </c>
      <c r="J1" s="79" t="str">
        <f t="shared" si="0"/>
        <v>NN</v>
      </c>
      <c r="K1" s="79" t="str">
        <f t="shared" si="0"/>
        <v>NN</v>
      </c>
      <c r="L1" s="79" t="str">
        <f t="shared" si="0"/>
        <v>NN</v>
      </c>
      <c r="M1" s="79" t="str">
        <f t="shared" si="0"/>
        <v>NN</v>
      </c>
      <c r="N1" s="79" t="str">
        <f t="shared" si="0"/>
        <v>NN</v>
      </c>
      <c r="O1" s="79" t="str">
        <f t="shared" si="0"/>
        <v>NN</v>
      </c>
      <c r="P1" s="3" t="s">
        <v>198</v>
      </c>
      <c r="Q1" s="92"/>
      <c r="R1" s="92"/>
      <c r="S1" s="92"/>
      <c r="T1" s="92"/>
      <c r="U1" s="92"/>
      <c r="V1" s="92"/>
    </row>
    <row r="2" spans="1:22" ht="14" customHeight="1">
      <c r="A2" s="5">
        <f t="shared" ref="A2:A44" si="1">A1+1</f>
        <v>2</v>
      </c>
      <c r="B2" s="94" t="s">
        <v>44</v>
      </c>
      <c r="C2" s="242" t="s">
        <v>358</v>
      </c>
      <c r="D2" s="78" t="str">
        <f>"AUG 11"</f>
        <v>AUG 11</v>
      </c>
      <c r="E2" s="78" t="str">
        <f>"SEP11"</f>
        <v>SEP11</v>
      </c>
      <c r="F2" s="78" t="str">
        <f>"OKT 11"</f>
        <v>OKT 11</v>
      </c>
      <c r="G2" s="78" t="str">
        <f>"NOV 11"</f>
        <v>NOV 11</v>
      </c>
      <c r="H2" s="78" t="str">
        <f>"DEC 11"</f>
        <v>DEC 11</v>
      </c>
      <c r="I2" s="78" t="str">
        <f>"JAN 12"</f>
        <v>JAN 12</v>
      </c>
      <c r="J2" s="78" t="str">
        <f>"FEB 12"</f>
        <v>FEB 12</v>
      </c>
      <c r="K2" s="78" t="str">
        <f>"MAR 12"</f>
        <v>MAR 12</v>
      </c>
      <c r="L2" s="265" t="str">
        <f>"APR 12"</f>
        <v>APR 12</v>
      </c>
      <c r="M2" s="265" t="str">
        <f>"MAJ12"</f>
        <v>MAJ12</v>
      </c>
      <c r="N2" s="265" t="str">
        <f>"JUN 12"</f>
        <v>JUN 12</v>
      </c>
      <c r="O2" s="265" t="str">
        <f>"JUL 12"</f>
        <v>JUL 12</v>
      </c>
      <c r="P2" s="263" t="s">
        <v>275</v>
      </c>
      <c r="Q2" s="92"/>
      <c r="R2" s="92"/>
      <c r="S2" s="92"/>
      <c r="T2" s="92"/>
      <c r="U2" s="92"/>
      <c r="V2" s="92"/>
    </row>
    <row r="3" spans="1:22" ht="27" customHeight="1">
      <c r="A3" s="5">
        <f t="shared" si="1"/>
        <v>3</v>
      </c>
      <c r="B3" s="168" t="s">
        <v>45</v>
      </c>
      <c r="C3" s="647" t="s">
        <v>75</v>
      </c>
      <c r="D3" s="196">
        <v>1</v>
      </c>
      <c r="E3" s="246">
        <v>1</v>
      </c>
      <c r="F3" s="246">
        <v>1</v>
      </c>
      <c r="G3" s="246">
        <v>1</v>
      </c>
      <c r="H3" s="246">
        <v>1</v>
      </c>
      <c r="I3" s="246">
        <v>1</v>
      </c>
      <c r="J3" s="246">
        <v>1</v>
      </c>
      <c r="K3" s="246">
        <v>1</v>
      </c>
      <c r="L3" s="247">
        <v>1</v>
      </c>
      <c r="M3" s="247">
        <v>1</v>
      </c>
      <c r="N3" s="247">
        <v>1</v>
      </c>
      <c r="O3" s="247">
        <v>1</v>
      </c>
      <c r="P3" s="7" t="s">
        <v>276</v>
      </c>
      <c r="Q3" s="92"/>
      <c r="R3" s="92"/>
      <c r="S3" s="92"/>
      <c r="T3" s="92"/>
      <c r="U3" s="92"/>
      <c r="V3" s="92"/>
    </row>
    <row r="4" spans="1:22" ht="14" customHeight="1">
      <c r="A4" s="5">
        <f t="shared" si="1"/>
        <v>4</v>
      </c>
      <c r="B4" s="169" t="s">
        <v>167</v>
      </c>
      <c r="C4" s="648"/>
      <c r="D4" s="197" t="s">
        <v>230</v>
      </c>
      <c r="E4" s="248" t="str">
        <f>D4</f>
        <v>Bh1</v>
      </c>
      <c r="F4" s="248" t="str">
        <f t="shared" ref="F4:O4" si="2">E4</f>
        <v>Bh1</v>
      </c>
      <c r="G4" s="248" t="str">
        <f t="shared" si="2"/>
        <v>Bh1</v>
      </c>
      <c r="H4" s="248" t="str">
        <f t="shared" si="2"/>
        <v>Bh1</v>
      </c>
      <c r="I4" s="248" t="str">
        <f t="shared" si="2"/>
        <v>Bh1</v>
      </c>
      <c r="J4" s="248" t="str">
        <f t="shared" si="2"/>
        <v>Bh1</v>
      </c>
      <c r="K4" s="248" t="str">
        <f t="shared" si="2"/>
        <v>Bh1</v>
      </c>
      <c r="L4" s="248" t="str">
        <f t="shared" si="2"/>
        <v>Bh1</v>
      </c>
      <c r="M4" s="248" t="str">
        <f t="shared" si="2"/>
        <v>Bh1</v>
      </c>
      <c r="N4" s="248" t="str">
        <f t="shared" si="2"/>
        <v>Bh1</v>
      </c>
      <c r="O4" s="248" t="str">
        <f t="shared" si="2"/>
        <v>Bh1</v>
      </c>
      <c r="P4" s="7" t="s">
        <v>216</v>
      </c>
      <c r="Q4" s="92"/>
      <c r="R4" s="92"/>
      <c r="S4" s="92"/>
      <c r="T4" s="92"/>
      <c r="U4" s="92"/>
      <c r="V4" s="92"/>
    </row>
    <row r="5" spans="1:22" ht="24" customHeight="1">
      <c r="A5" s="5">
        <f>A4+1</f>
        <v>5</v>
      </c>
      <c r="B5" s="170" t="s">
        <v>62</v>
      </c>
      <c r="C5" s="648"/>
      <c r="D5" s="197"/>
      <c r="E5" s="82" t="str">
        <f>IF(D5&lt;&gt;"",D5,"")</f>
        <v/>
      </c>
      <c r="F5" s="82" t="str">
        <f t="shared" ref="F5:O5" si="3">IF(E5&lt;&gt;"",E5,"")</f>
        <v/>
      </c>
      <c r="G5" s="82" t="str">
        <f t="shared" si="3"/>
        <v/>
      </c>
      <c r="H5" s="82" t="str">
        <f t="shared" si="3"/>
        <v/>
      </c>
      <c r="I5" s="82" t="str">
        <f t="shared" si="3"/>
        <v/>
      </c>
      <c r="J5" s="82" t="str">
        <f t="shared" si="3"/>
        <v/>
      </c>
      <c r="K5" s="82" t="str">
        <f t="shared" si="3"/>
        <v/>
      </c>
      <c r="L5" s="82" t="str">
        <f t="shared" si="3"/>
        <v/>
      </c>
      <c r="M5" s="82" t="str">
        <f t="shared" si="3"/>
        <v/>
      </c>
      <c r="N5" s="82" t="str">
        <f t="shared" si="3"/>
        <v/>
      </c>
      <c r="O5" s="82" t="str">
        <f t="shared" si="3"/>
        <v/>
      </c>
      <c r="P5" s="67" t="s">
        <v>63</v>
      </c>
      <c r="Q5" s="92"/>
      <c r="R5" s="92"/>
      <c r="S5" s="92"/>
      <c r="T5" s="92"/>
      <c r="U5" s="92"/>
      <c r="V5" s="92"/>
    </row>
    <row r="6" spans="1:22" ht="24" customHeight="1">
      <c r="A6" s="5">
        <f t="shared" si="1"/>
        <v>6</v>
      </c>
      <c r="B6" s="169" t="s">
        <v>123</v>
      </c>
      <c r="C6" s="648"/>
      <c r="D6" s="197" t="s">
        <v>229</v>
      </c>
      <c r="E6" s="80" t="str">
        <f>$D6</f>
        <v>L</v>
      </c>
      <c r="F6" s="80" t="str">
        <f t="shared" ref="F6:O8" si="4">$D6</f>
        <v>L</v>
      </c>
      <c r="G6" s="80" t="str">
        <f t="shared" si="4"/>
        <v>L</v>
      </c>
      <c r="H6" s="80" t="str">
        <f t="shared" si="4"/>
        <v>L</v>
      </c>
      <c r="I6" s="80" t="str">
        <f t="shared" si="4"/>
        <v>L</v>
      </c>
      <c r="J6" s="80" t="str">
        <f t="shared" si="4"/>
        <v>L</v>
      </c>
      <c r="K6" s="80" t="str">
        <f t="shared" si="4"/>
        <v>L</v>
      </c>
      <c r="L6" s="80" t="str">
        <f t="shared" si="4"/>
        <v>L</v>
      </c>
      <c r="M6" s="80" t="str">
        <f t="shared" si="4"/>
        <v>L</v>
      </c>
      <c r="N6" s="80" t="str">
        <f t="shared" si="4"/>
        <v>L</v>
      </c>
      <c r="O6" s="80" t="str">
        <f t="shared" si="4"/>
        <v>L</v>
      </c>
      <c r="P6" s="7" t="s">
        <v>18</v>
      </c>
      <c r="Q6" s="92"/>
      <c r="R6" s="92"/>
      <c r="S6" s="92"/>
      <c r="T6" s="92"/>
      <c r="U6" s="92"/>
      <c r="V6" s="92"/>
    </row>
    <row r="7" spans="1:22" ht="14" customHeight="1">
      <c r="A7" s="5">
        <f t="shared" si="1"/>
        <v>7</v>
      </c>
      <c r="B7" s="169" t="s">
        <v>223</v>
      </c>
      <c r="C7" s="648"/>
      <c r="D7" s="71">
        <v>1.3106599999999999</v>
      </c>
      <c r="E7" s="71">
        <v>1.3106599999999999</v>
      </c>
      <c r="F7" s="71">
        <v>1.3106599999999999</v>
      </c>
      <c r="G7" s="71">
        <v>1.3106599999999999</v>
      </c>
      <c r="H7" s="71">
        <v>1.3106599999999999</v>
      </c>
      <c r="I7" s="71">
        <v>1.3106599999999999</v>
      </c>
      <c r="J7" s="71">
        <v>1.3106599999999999</v>
      </c>
      <c r="K7" s="71">
        <v>1.3106599999999999</v>
      </c>
      <c r="L7" s="352">
        <v>1.0130399999999999</v>
      </c>
      <c r="M7" s="71">
        <f>L7</f>
        <v>1.0130399999999999</v>
      </c>
      <c r="N7" s="71">
        <f>M7</f>
        <v>1.0130399999999999</v>
      </c>
      <c r="O7" s="71">
        <f>N7</f>
        <v>1.0130399999999999</v>
      </c>
      <c r="P7" s="72" t="s">
        <v>195</v>
      </c>
      <c r="Q7" s="92"/>
      <c r="R7" s="92"/>
      <c r="S7" s="92"/>
      <c r="T7" s="92"/>
      <c r="U7" s="92"/>
      <c r="V7" s="92"/>
    </row>
    <row r="8" spans="1:22" ht="14" customHeight="1">
      <c r="A8" s="5">
        <f t="shared" si="1"/>
        <v>8</v>
      </c>
      <c r="B8" s="169" t="s">
        <v>139</v>
      </c>
      <c r="C8" s="648"/>
      <c r="D8" s="199">
        <v>3</v>
      </c>
      <c r="E8" s="80">
        <f>$D8</f>
        <v>3</v>
      </c>
      <c r="F8" s="80">
        <f t="shared" si="4"/>
        <v>3</v>
      </c>
      <c r="G8" s="80">
        <f t="shared" si="4"/>
        <v>3</v>
      </c>
      <c r="H8" s="80">
        <f t="shared" si="4"/>
        <v>3</v>
      </c>
      <c r="I8" s="80">
        <f t="shared" si="4"/>
        <v>3</v>
      </c>
      <c r="J8" s="80">
        <f t="shared" si="4"/>
        <v>3</v>
      </c>
      <c r="K8" s="80">
        <f t="shared" si="4"/>
        <v>3</v>
      </c>
      <c r="L8" s="80">
        <f t="shared" si="4"/>
        <v>3</v>
      </c>
      <c r="M8" s="80">
        <f t="shared" si="4"/>
        <v>3</v>
      </c>
      <c r="N8" s="80">
        <f t="shared" si="4"/>
        <v>3</v>
      </c>
      <c r="O8" s="80">
        <f t="shared" si="4"/>
        <v>3</v>
      </c>
      <c r="P8" s="3" t="s">
        <v>108</v>
      </c>
      <c r="Q8" s="92"/>
      <c r="R8" s="92"/>
      <c r="S8" s="92"/>
      <c r="T8" s="92"/>
      <c r="U8" s="92"/>
      <c r="V8" s="92"/>
    </row>
    <row r="9" spans="1:22" ht="24">
      <c r="A9" s="5">
        <f>A8+1</f>
        <v>9</v>
      </c>
      <c r="B9" s="169" t="s">
        <v>42</v>
      </c>
      <c r="C9" s="648"/>
      <c r="D9" s="151">
        <v>0.66139999999999999</v>
      </c>
      <c r="E9" s="249">
        <f>D9</f>
        <v>0.66139999999999999</v>
      </c>
      <c r="F9" s="249">
        <f t="shared" ref="F9:O12" si="5">E9</f>
        <v>0.66139999999999999</v>
      </c>
      <c r="G9" s="249">
        <f t="shared" si="5"/>
        <v>0.66139999999999999</v>
      </c>
      <c r="H9" s="249">
        <f t="shared" si="5"/>
        <v>0.66139999999999999</v>
      </c>
      <c r="I9" s="249">
        <f t="shared" si="5"/>
        <v>0.66139999999999999</v>
      </c>
      <c r="J9" s="249">
        <f t="shared" si="5"/>
        <v>0.66139999999999999</v>
      </c>
      <c r="K9" s="249">
        <f t="shared" si="5"/>
        <v>0.66139999999999999</v>
      </c>
      <c r="L9" s="249">
        <f t="shared" si="5"/>
        <v>0.66139999999999999</v>
      </c>
      <c r="M9" s="249">
        <f t="shared" si="5"/>
        <v>0.66139999999999999</v>
      </c>
      <c r="N9" s="249">
        <f t="shared" si="5"/>
        <v>0.66139999999999999</v>
      </c>
      <c r="O9" s="249">
        <f t="shared" si="5"/>
        <v>0.66139999999999999</v>
      </c>
      <c r="P9" s="7" t="s">
        <v>82</v>
      </c>
      <c r="Q9" s="92"/>
      <c r="R9" s="92"/>
      <c r="S9" s="92"/>
      <c r="T9" s="92"/>
      <c r="U9" s="92"/>
      <c r="V9" s="92"/>
    </row>
    <row r="10" spans="1:22" ht="24" customHeight="1">
      <c r="A10" s="5">
        <f t="shared" si="1"/>
        <v>10</v>
      </c>
      <c r="B10" s="169" t="s">
        <v>225</v>
      </c>
      <c r="C10" s="648"/>
      <c r="D10" s="200">
        <v>600</v>
      </c>
      <c r="E10" s="250">
        <f>D10</f>
        <v>600</v>
      </c>
      <c r="F10" s="250">
        <f t="shared" si="5"/>
        <v>600</v>
      </c>
      <c r="G10" s="250">
        <f t="shared" si="5"/>
        <v>600</v>
      </c>
      <c r="H10" s="250">
        <f t="shared" si="5"/>
        <v>600</v>
      </c>
      <c r="I10" s="250">
        <f t="shared" si="5"/>
        <v>600</v>
      </c>
      <c r="J10" s="250">
        <f t="shared" si="5"/>
        <v>600</v>
      </c>
      <c r="K10" s="250">
        <f t="shared" si="5"/>
        <v>600</v>
      </c>
      <c r="L10" s="250">
        <f t="shared" si="5"/>
        <v>600</v>
      </c>
      <c r="M10" s="250">
        <f t="shared" si="5"/>
        <v>600</v>
      </c>
      <c r="N10" s="250">
        <f t="shared" si="5"/>
        <v>600</v>
      </c>
      <c r="O10" s="250">
        <f t="shared" si="5"/>
        <v>600</v>
      </c>
      <c r="P10" s="7" t="s">
        <v>76</v>
      </c>
      <c r="Q10" s="92"/>
      <c r="R10" s="92"/>
      <c r="S10" s="92"/>
      <c r="T10" s="92"/>
      <c r="U10" s="92"/>
      <c r="V10" s="92"/>
    </row>
    <row r="11" spans="1:22" ht="24" customHeight="1">
      <c r="A11" s="5">
        <f t="shared" si="1"/>
        <v>11</v>
      </c>
      <c r="B11" s="171" t="s">
        <v>317</v>
      </c>
      <c r="C11" s="648"/>
      <c r="D11" s="201"/>
      <c r="E11" s="251">
        <f>D11</f>
        <v>0</v>
      </c>
      <c r="F11" s="251">
        <f t="shared" si="5"/>
        <v>0</v>
      </c>
      <c r="G11" s="251">
        <f t="shared" si="5"/>
        <v>0</v>
      </c>
      <c r="H11" s="251">
        <f t="shared" si="5"/>
        <v>0</v>
      </c>
      <c r="I11" s="251">
        <f t="shared" si="5"/>
        <v>0</v>
      </c>
      <c r="J11" s="251">
        <f t="shared" si="5"/>
        <v>0</v>
      </c>
      <c r="K11" s="251">
        <f t="shared" si="5"/>
        <v>0</v>
      </c>
      <c r="L11" s="251">
        <f>ROUND(K11*1.31066,-2)</f>
        <v>0</v>
      </c>
      <c r="M11" s="251">
        <f t="shared" si="5"/>
        <v>0</v>
      </c>
      <c r="N11" s="251">
        <f t="shared" si="5"/>
        <v>0</v>
      </c>
      <c r="O11" s="251">
        <f t="shared" si="5"/>
        <v>0</v>
      </c>
      <c r="P11" s="13" t="s">
        <v>83</v>
      </c>
      <c r="Q11" s="92"/>
      <c r="R11" s="92"/>
      <c r="S11" s="92"/>
      <c r="T11" s="92"/>
      <c r="U11" s="92"/>
      <c r="V11" s="92"/>
    </row>
    <row r="12" spans="1:22" ht="24" customHeight="1">
      <c r="A12" s="5">
        <f t="shared" si="1"/>
        <v>12</v>
      </c>
      <c r="B12" s="172" t="s">
        <v>271</v>
      </c>
      <c r="C12" s="648"/>
      <c r="D12" s="201"/>
      <c r="E12" s="251">
        <f>D12</f>
        <v>0</v>
      </c>
      <c r="F12" s="251">
        <f t="shared" si="5"/>
        <v>0</v>
      </c>
      <c r="G12" s="251">
        <f t="shared" si="5"/>
        <v>0</v>
      </c>
      <c r="H12" s="251">
        <f t="shared" si="5"/>
        <v>0</v>
      </c>
      <c r="I12" s="251">
        <f t="shared" si="5"/>
        <v>0</v>
      </c>
      <c r="J12" s="251">
        <f t="shared" si="5"/>
        <v>0</v>
      </c>
      <c r="K12" s="251">
        <f t="shared" si="5"/>
        <v>0</v>
      </c>
      <c r="L12" s="251">
        <f>IF(K12*1.31066&gt;2400,ROUND(K12*1.31066,-2),ROUND(K12*1.31066,0))</f>
        <v>0</v>
      </c>
      <c r="M12" s="251">
        <f t="shared" si="5"/>
        <v>0</v>
      </c>
      <c r="N12" s="251">
        <f t="shared" si="5"/>
        <v>0</v>
      </c>
      <c r="O12" s="251">
        <f t="shared" si="5"/>
        <v>0</v>
      </c>
      <c r="P12" s="3" t="s">
        <v>86</v>
      </c>
      <c r="Q12" s="92"/>
      <c r="R12" s="92"/>
      <c r="S12" s="92"/>
      <c r="T12" s="92"/>
      <c r="U12" s="92"/>
      <c r="V12" s="92"/>
    </row>
    <row r="13" spans="1:22" ht="24" customHeight="1">
      <c r="A13" s="5">
        <f>A12+1</f>
        <v>13</v>
      </c>
      <c r="B13" s="173" t="s">
        <v>271</v>
      </c>
      <c r="C13" s="648"/>
      <c r="D13" s="202"/>
      <c r="E13" s="252">
        <f t="shared" ref="E13:O20" si="6">D13</f>
        <v>0</v>
      </c>
      <c r="F13" s="252">
        <f t="shared" si="6"/>
        <v>0</v>
      </c>
      <c r="G13" s="252">
        <f t="shared" si="6"/>
        <v>0</v>
      </c>
      <c r="H13" s="252">
        <f t="shared" si="6"/>
        <v>0</v>
      </c>
      <c r="I13" s="252">
        <f t="shared" si="6"/>
        <v>0</v>
      </c>
      <c r="J13" s="252">
        <f t="shared" si="6"/>
        <v>0</v>
      </c>
      <c r="K13" s="252">
        <f t="shared" si="6"/>
        <v>0</v>
      </c>
      <c r="L13" s="252">
        <f t="shared" ref="L13:L18" si="7">IF(K13*1.31066&gt;2400,ROUND(K13*1.31066,-2),ROUND(K13*1.31066,0))</f>
        <v>0</v>
      </c>
      <c r="M13" s="252">
        <f t="shared" si="6"/>
        <v>0</v>
      </c>
      <c r="N13" s="252">
        <f t="shared" si="6"/>
        <v>0</v>
      </c>
      <c r="O13" s="252">
        <f t="shared" si="6"/>
        <v>0</v>
      </c>
      <c r="P13" s="3" t="s">
        <v>86</v>
      </c>
      <c r="Q13" s="92"/>
      <c r="R13" s="92"/>
      <c r="S13" s="92"/>
      <c r="T13" s="92"/>
      <c r="U13" s="92"/>
      <c r="V13" s="92"/>
    </row>
    <row r="14" spans="1:22" ht="24" customHeight="1">
      <c r="A14" s="5">
        <f t="shared" si="1"/>
        <v>14</v>
      </c>
      <c r="B14" s="174" t="s">
        <v>271</v>
      </c>
      <c r="C14" s="648"/>
      <c r="D14" s="203"/>
      <c r="E14" s="253">
        <f t="shared" si="6"/>
        <v>0</v>
      </c>
      <c r="F14" s="253">
        <f t="shared" si="6"/>
        <v>0</v>
      </c>
      <c r="G14" s="253">
        <f t="shared" si="6"/>
        <v>0</v>
      </c>
      <c r="H14" s="253">
        <f t="shared" si="6"/>
        <v>0</v>
      </c>
      <c r="I14" s="253">
        <f t="shared" si="6"/>
        <v>0</v>
      </c>
      <c r="J14" s="253">
        <f t="shared" si="6"/>
        <v>0</v>
      </c>
      <c r="K14" s="253">
        <f t="shared" si="6"/>
        <v>0</v>
      </c>
      <c r="L14" s="253">
        <f t="shared" si="7"/>
        <v>0</v>
      </c>
      <c r="M14" s="253">
        <f t="shared" si="6"/>
        <v>0</v>
      </c>
      <c r="N14" s="253">
        <f t="shared" si="6"/>
        <v>0</v>
      </c>
      <c r="O14" s="253">
        <f t="shared" si="6"/>
        <v>0</v>
      </c>
      <c r="P14" s="3" t="s">
        <v>86</v>
      </c>
      <c r="Q14" s="92"/>
      <c r="R14" s="92"/>
      <c r="S14" s="92"/>
      <c r="T14" s="92"/>
      <c r="U14" s="92"/>
      <c r="V14" s="92"/>
    </row>
    <row r="15" spans="1:22" ht="24" customHeight="1">
      <c r="A15" s="5">
        <f t="shared" si="1"/>
        <v>15</v>
      </c>
      <c r="B15" s="175" t="s">
        <v>201</v>
      </c>
      <c r="C15" s="648"/>
      <c r="D15" s="204"/>
      <c r="E15" s="254">
        <f t="shared" si="6"/>
        <v>0</v>
      </c>
      <c r="F15" s="254">
        <f t="shared" si="6"/>
        <v>0</v>
      </c>
      <c r="G15" s="254">
        <f t="shared" si="6"/>
        <v>0</v>
      </c>
      <c r="H15" s="254">
        <f t="shared" si="6"/>
        <v>0</v>
      </c>
      <c r="I15" s="254">
        <f t="shared" si="6"/>
        <v>0</v>
      </c>
      <c r="J15" s="254">
        <f t="shared" si="6"/>
        <v>0</v>
      </c>
      <c r="K15" s="254">
        <f t="shared" si="6"/>
        <v>0</v>
      </c>
      <c r="L15" s="254">
        <f t="shared" si="7"/>
        <v>0</v>
      </c>
      <c r="M15" s="254">
        <f t="shared" si="6"/>
        <v>0</v>
      </c>
      <c r="N15" s="254">
        <f t="shared" si="6"/>
        <v>0</v>
      </c>
      <c r="O15" s="254">
        <f t="shared" si="6"/>
        <v>0</v>
      </c>
      <c r="P15" s="3" t="s">
        <v>84</v>
      </c>
      <c r="Q15" s="92"/>
      <c r="R15" s="92"/>
      <c r="S15" s="92"/>
      <c r="T15" s="92"/>
      <c r="U15" s="92"/>
      <c r="V15" s="92"/>
    </row>
    <row r="16" spans="1:22" ht="24" customHeight="1">
      <c r="A16" s="5">
        <f t="shared" si="1"/>
        <v>16</v>
      </c>
      <c r="B16" s="172" t="s">
        <v>202</v>
      </c>
      <c r="C16" s="648"/>
      <c r="D16" s="201">
        <v>12000</v>
      </c>
      <c r="E16" s="251">
        <f t="shared" si="6"/>
        <v>12000</v>
      </c>
      <c r="F16" s="251">
        <f t="shared" si="6"/>
        <v>12000</v>
      </c>
      <c r="G16" s="251">
        <f t="shared" si="6"/>
        <v>12000</v>
      </c>
      <c r="H16" s="251">
        <f t="shared" si="6"/>
        <v>12000</v>
      </c>
      <c r="I16" s="251">
        <f t="shared" si="6"/>
        <v>12000</v>
      </c>
      <c r="J16" s="251">
        <f t="shared" si="6"/>
        <v>12000</v>
      </c>
      <c r="K16" s="251">
        <f t="shared" si="6"/>
        <v>12000</v>
      </c>
      <c r="L16" s="361">
        <f t="shared" si="7"/>
        <v>15700</v>
      </c>
      <c r="M16" s="251">
        <f t="shared" si="6"/>
        <v>15700</v>
      </c>
      <c r="N16" s="251">
        <f t="shared" si="6"/>
        <v>15700</v>
      </c>
      <c r="O16" s="251">
        <f t="shared" si="6"/>
        <v>15700</v>
      </c>
      <c r="P16" s="3" t="s">
        <v>84</v>
      </c>
      <c r="Q16" s="92"/>
      <c r="R16" s="92"/>
      <c r="S16" s="92"/>
      <c r="T16" s="92"/>
      <c r="U16" s="92"/>
      <c r="V16" s="92"/>
    </row>
    <row r="17" spans="1:22" ht="24" customHeight="1">
      <c r="A17" s="5">
        <f>A16+1</f>
        <v>17</v>
      </c>
      <c r="B17" s="176" t="s">
        <v>202</v>
      </c>
      <c r="C17" s="648"/>
      <c r="D17" s="202"/>
      <c r="E17" s="252">
        <f t="shared" si="6"/>
        <v>0</v>
      </c>
      <c r="F17" s="252">
        <f t="shared" si="6"/>
        <v>0</v>
      </c>
      <c r="G17" s="252">
        <f t="shared" si="6"/>
        <v>0</v>
      </c>
      <c r="H17" s="252">
        <f t="shared" si="6"/>
        <v>0</v>
      </c>
      <c r="I17" s="252">
        <f t="shared" si="6"/>
        <v>0</v>
      </c>
      <c r="J17" s="252">
        <f t="shared" si="6"/>
        <v>0</v>
      </c>
      <c r="K17" s="252">
        <f t="shared" si="6"/>
        <v>0</v>
      </c>
      <c r="L17" s="252">
        <f t="shared" si="7"/>
        <v>0</v>
      </c>
      <c r="M17" s="252">
        <f t="shared" si="6"/>
        <v>0</v>
      </c>
      <c r="N17" s="252">
        <f t="shared" si="6"/>
        <v>0</v>
      </c>
      <c r="O17" s="252">
        <f t="shared" si="6"/>
        <v>0</v>
      </c>
      <c r="P17" s="3" t="s">
        <v>84</v>
      </c>
      <c r="Q17" s="92"/>
      <c r="R17" s="92"/>
      <c r="S17" s="92"/>
      <c r="T17" s="92"/>
      <c r="U17" s="92"/>
      <c r="V17" s="92"/>
    </row>
    <row r="18" spans="1:22" ht="24" customHeight="1">
      <c r="A18" s="5">
        <f t="shared" si="1"/>
        <v>18</v>
      </c>
      <c r="B18" s="174" t="s">
        <v>217</v>
      </c>
      <c r="C18" s="648"/>
      <c r="D18" s="205"/>
      <c r="E18" s="255">
        <f t="shared" si="6"/>
        <v>0</v>
      </c>
      <c r="F18" s="255">
        <f t="shared" si="6"/>
        <v>0</v>
      </c>
      <c r="G18" s="255">
        <f t="shared" si="6"/>
        <v>0</v>
      </c>
      <c r="H18" s="255">
        <f t="shared" si="6"/>
        <v>0</v>
      </c>
      <c r="I18" s="255">
        <f t="shared" si="6"/>
        <v>0</v>
      </c>
      <c r="J18" s="255">
        <f t="shared" si="6"/>
        <v>0</v>
      </c>
      <c r="K18" s="255">
        <f t="shared" si="6"/>
        <v>0</v>
      </c>
      <c r="L18" s="255">
        <f t="shared" si="7"/>
        <v>0</v>
      </c>
      <c r="M18" s="255">
        <f t="shared" si="6"/>
        <v>0</v>
      </c>
      <c r="N18" s="255">
        <f t="shared" si="6"/>
        <v>0</v>
      </c>
      <c r="O18" s="255">
        <f t="shared" si="6"/>
        <v>0</v>
      </c>
      <c r="P18" s="3" t="s">
        <v>84</v>
      </c>
      <c r="Q18" s="92"/>
      <c r="R18" s="92"/>
      <c r="S18" s="92"/>
      <c r="T18" s="92"/>
      <c r="U18" s="92"/>
      <c r="V18" s="92"/>
    </row>
    <row r="19" spans="1:22" ht="24" customHeight="1">
      <c r="A19" s="5">
        <f t="shared" si="1"/>
        <v>19</v>
      </c>
      <c r="B19" s="177" t="s">
        <v>218</v>
      </c>
      <c r="C19" s="648"/>
      <c r="D19" s="206" t="s">
        <v>237</v>
      </c>
      <c r="E19" s="256" t="str">
        <f>D19</f>
        <v>NEJ</v>
      </c>
      <c r="F19" s="256" t="str">
        <f t="shared" si="6"/>
        <v>NEJ</v>
      </c>
      <c r="G19" s="256" t="str">
        <f t="shared" si="6"/>
        <v>NEJ</v>
      </c>
      <c r="H19" s="256" t="str">
        <f t="shared" si="6"/>
        <v>NEJ</v>
      </c>
      <c r="I19" s="256" t="str">
        <f t="shared" si="6"/>
        <v>NEJ</v>
      </c>
      <c r="J19" s="256" t="str">
        <f t="shared" si="6"/>
        <v>NEJ</v>
      </c>
      <c r="K19" s="256" t="str">
        <f t="shared" si="6"/>
        <v>NEJ</v>
      </c>
      <c r="L19" s="256" t="str">
        <f t="shared" si="6"/>
        <v>NEJ</v>
      </c>
      <c r="M19" s="256" t="str">
        <f t="shared" si="6"/>
        <v>NEJ</v>
      </c>
      <c r="N19" s="256" t="str">
        <f t="shared" si="6"/>
        <v>NEJ</v>
      </c>
      <c r="O19" s="256" t="str">
        <f t="shared" si="6"/>
        <v>NEJ</v>
      </c>
      <c r="P19" s="7" t="s">
        <v>200</v>
      </c>
      <c r="Q19" s="92"/>
      <c r="R19" s="92"/>
      <c r="S19" s="92"/>
      <c r="T19" s="92"/>
      <c r="U19" s="92"/>
      <c r="V19" s="92"/>
    </row>
    <row r="20" spans="1:22" ht="14" customHeight="1">
      <c r="A20" s="5">
        <f t="shared" si="1"/>
        <v>20</v>
      </c>
      <c r="B20" s="178" t="s">
        <v>267</v>
      </c>
      <c r="C20" s="648"/>
      <c r="D20" s="207">
        <v>0</v>
      </c>
      <c r="E20" s="257">
        <f>D20</f>
        <v>0</v>
      </c>
      <c r="F20" s="257">
        <f t="shared" si="6"/>
        <v>0</v>
      </c>
      <c r="G20" s="257">
        <f t="shared" si="6"/>
        <v>0</v>
      </c>
      <c r="H20" s="257">
        <f t="shared" si="6"/>
        <v>0</v>
      </c>
      <c r="I20" s="257">
        <f t="shared" si="6"/>
        <v>0</v>
      </c>
      <c r="J20" s="257">
        <f t="shared" si="6"/>
        <v>0</v>
      </c>
      <c r="K20" s="257">
        <f t="shared" si="6"/>
        <v>0</v>
      </c>
      <c r="L20" s="257">
        <f t="shared" si="6"/>
        <v>0</v>
      </c>
      <c r="M20" s="257">
        <f t="shared" si="6"/>
        <v>0</v>
      </c>
      <c r="N20" s="257">
        <f t="shared" si="6"/>
        <v>0</v>
      </c>
      <c r="O20" s="257">
        <f t="shared" si="6"/>
        <v>0</v>
      </c>
      <c r="P20" s="148" t="s">
        <v>165</v>
      </c>
      <c r="Q20" s="92"/>
      <c r="R20" s="92"/>
      <c r="S20" s="92"/>
      <c r="T20" s="92"/>
      <c r="U20" s="92"/>
      <c r="V20" s="92"/>
    </row>
    <row r="21" spans="1:22" ht="14" customHeight="1">
      <c r="A21" s="5">
        <f t="shared" si="1"/>
        <v>21</v>
      </c>
      <c r="B21" s="179" t="s">
        <v>231</v>
      </c>
      <c r="C21" s="648"/>
      <c r="D21" s="208">
        <v>5</v>
      </c>
      <c r="E21" s="152"/>
      <c r="F21" s="152"/>
      <c r="G21" s="152"/>
      <c r="H21" s="152"/>
      <c r="I21" s="152"/>
      <c r="J21" s="152"/>
      <c r="K21" s="152"/>
      <c r="L21" s="152"/>
      <c r="M21" s="152">
        <v>9.9999999999999994E-12</v>
      </c>
      <c r="N21" s="152"/>
      <c r="O21" s="152">
        <v>20</v>
      </c>
      <c r="P21" s="3" t="s">
        <v>232</v>
      </c>
      <c r="Q21" s="92"/>
      <c r="R21" s="92"/>
      <c r="S21" s="92"/>
      <c r="T21" s="92"/>
      <c r="U21" s="92"/>
      <c r="V21" s="92"/>
    </row>
    <row r="22" spans="1:22" ht="27" customHeight="1">
      <c r="A22" s="5">
        <f t="shared" si="1"/>
        <v>22</v>
      </c>
      <c r="B22" s="135" t="s">
        <v>240</v>
      </c>
      <c r="C22" s="648"/>
      <c r="D22" s="209">
        <v>0</v>
      </c>
      <c r="E22" s="153"/>
      <c r="F22" s="153"/>
      <c r="G22" s="153"/>
      <c r="H22" s="153"/>
      <c r="I22" s="153"/>
      <c r="J22" s="153"/>
      <c r="K22" s="153"/>
      <c r="L22" s="153"/>
      <c r="M22" s="153"/>
      <c r="N22" s="153"/>
      <c r="O22" s="153">
        <v>0</v>
      </c>
      <c r="P22" s="3" t="s">
        <v>278</v>
      </c>
      <c r="Q22" s="92"/>
      <c r="R22" s="92"/>
      <c r="S22" s="92"/>
      <c r="T22" s="92"/>
      <c r="U22" s="92"/>
      <c r="V22" s="92"/>
    </row>
    <row r="23" spans="1:22" ht="14" customHeight="1">
      <c r="A23" s="5">
        <f t="shared" si="1"/>
        <v>23</v>
      </c>
      <c r="B23" s="180" t="s">
        <v>305</v>
      </c>
      <c r="C23" s="649"/>
      <c r="D23" s="210">
        <f>Ex10_11!O24</f>
        <v>0.67059999999999997</v>
      </c>
      <c r="E23" s="258">
        <f t="shared" ref="E23:L23" si="8">D23</f>
        <v>0.67059999999999997</v>
      </c>
      <c r="F23" s="258">
        <f t="shared" si="8"/>
        <v>0.67059999999999997</v>
      </c>
      <c r="G23" s="258">
        <f t="shared" si="8"/>
        <v>0.67059999999999997</v>
      </c>
      <c r="H23" s="258">
        <f t="shared" si="8"/>
        <v>0.67059999999999997</v>
      </c>
      <c r="I23" s="258">
        <f t="shared" si="8"/>
        <v>0.67059999999999997</v>
      </c>
      <c r="J23" s="258">
        <f t="shared" si="8"/>
        <v>0.67059999999999997</v>
      </c>
      <c r="K23" s="258">
        <f t="shared" si="8"/>
        <v>0.67059999999999997</v>
      </c>
      <c r="L23" s="258">
        <f t="shared" si="8"/>
        <v>0.67059999999999997</v>
      </c>
      <c r="M23" s="166"/>
      <c r="N23" s="154"/>
      <c r="O23" s="154"/>
      <c r="P23" s="150" t="s">
        <v>270</v>
      </c>
      <c r="Q23" s="92"/>
      <c r="R23" s="92"/>
      <c r="S23" s="92"/>
      <c r="T23" s="92"/>
      <c r="U23" s="92"/>
      <c r="V23" s="92"/>
    </row>
    <row r="24" spans="1:22" ht="14" customHeight="1">
      <c r="A24" s="5">
        <f t="shared" si="1"/>
        <v>24</v>
      </c>
      <c r="B24" s="181" t="s">
        <v>306</v>
      </c>
      <c r="C24" s="649"/>
      <c r="D24" s="143" t="s">
        <v>221</v>
      </c>
      <c r="E24" s="155"/>
      <c r="F24" s="155"/>
      <c r="G24" s="155"/>
      <c r="H24" s="155"/>
      <c r="I24" s="155"/>
      <c r="J24" s="155"/>
      <c r="K24" s="155"/>
      <c r="L24" s="167"/>
      <c r="M24" s="420">
        <v>0.66139999999999999</v>
      </c>
      <c r="N24" s="259">
        <f>M24</f>
        <v>0.66139999999999999</v>
      </c>
      <c r="O24" s="259">
        <f>N24</f>
        <v>0.66139999999999999</v>
      </c>
      <c r="P24" s="147" t="s">
        <v>269</v>
      </c>
      <c r="Q24" s="92"/>
      <c r="R24" s="92"/>
      <c r="S24" s="92"/>
      <c r="T24" s="92"/>
      <c r="U24" s="92"/>
      <c r="V24" s="92"/>
    </row>
    <row r="25" spans="1:22" ht="14" customHeight="1">
      <c r="A25" s="5">
        <f t="shared" si="1"/>
        <v>25</v>
      </c>
      <c r="B25" s="182" t="s">
        <v>211</v>
      </c>
      <c r="C25" s="649"/>
      <c r="D25" s="211"/>
      <c r="E25" s="129"/>
      <c r="F25" s="129"/>
      <c r="G25" s="129"/>
      <c r="H25" s="129"/>
      <c r="I25" s="129"/>
      <c r="J25" s="129"/>
      <c r="K25" s="129"/>
      <c r="L25" s="129"/>
      <c r="M25" s="129"/>
      <c r="N25" s="129"/>
      <c r="O25" s="129"/>
      <c r="P25" s="148" t="s">
        <v>264</v>
      </c>
      <c r="Q25" s="92"/>
      <c r="R25" s="92"/>
      <c r="S25" s="92"/>
      <c r="T25" s="92"/>
      <c r="U25" s="92"/>
      <c r="V25" s="92"/>
    </row>
    <row r="26" spans="1:22" ht="14" customHeight="1">
      <c r="A26" s="5">
        <f t="shared" si="1"/>
        <v>26</v>
      </c>
      <c r="B26" s="183" t="s">
        <v>212</v>
      </c>
      <c r="C26" s="649"/>
      <c r="D26" s="212">
        <f>Ex10_11!O26</f>
        <v>41</v>
      </c>
      <c r="E26" s="260">
        <f>D26</f>
        <v>41</v>
      </c>
      <c r="F26" s="260">
        <f t="shared" ref="F26:O27" si="9">E26</f>
        <v>41</v>
      </c>
      <c r="G26" s="260">
        <f t="shared" si="9"/>
        <v>41</v>
      </c>
      <c r="H26" s="260">
        <f t="shared" si="9"/>
        <v>41</v>
      </c>
      <c r="I26" s="260">
        <f t="shared" si="9"/>
        <v>41</v>
      </c>
      <c r="J26" s="260">
        <f t="shared" si="9"/>
        <v>41</v>
      </c>
      <c r="K26" s="260">
        <f t="shared" si="9"/>
        <v>41</v>
      </c>
      <c r="L26" s="260">
        <f t="shared" si="9"/>
        <v>41</v>
      </c>
      <c r="M26" s="260">
        <f t="shared" si="9"/>
        <v>41</v>
      </c>
      <c r="N26" s="260">
        <f t="shared" si="9"/>
        <v>41</v>
      </c>
      <c r="O26" s="260">
        <f t="shared" si="9"/>
        <v>41</v>
      </c>
      <c r="P26" s="3" t="s">
        <v>23</v>
      </c>
      <c r="Q26" s="92"/>
      <c r="R26" s="92"/>
      <c r="S26" s="92"/>
      <c r="T26" s="92"/>
      <c r="U26" s="92"/>
      <c r="V26" s="92"/>
    </row>
    <row r="27" spans="1:22" ht="14" customHeight="1">
      <c r="A27" s="5">
        <f t="shared" si="1"/>
        <v>27</v>
      </c>
      <c r="B27" s="182" t="s">
        <v>213</v>
      </c>
      <c r="C27" s="649"/>
      <c r="D27" s="213">
        <f>Ex10_11!O27</f>
        <v>5120</v>
      </c>
      <c r="E27" s="261">
        <f>D27</f>
        <v>5120</v>
      </c>
      <c r="F27" s="261">
        <f t="shared" si="9"/>
        <v>5120</v>
      </c>
      <c r="G27" s="261">
        <f t="shared" si="9"/>
        <v>5120</v>
      </c>
      <c r="H27" s="261">
        <f t="shared" si="9"/>
        <v>5120</v>
      </c>
      <c r="I27" s="261">
        <f t="shared" si="9"/>
        <v>5120</v>
      </c>
      <c r="J27" s="261">
        <f t="shared" si="9"/>
        <v>5120</v>
      </c>
      <c r="K27" s="261">
        <f t="shared" si="9"/>
        <v>5120</v>
      </c>
      <c r="L27" s="261">
        <f t="shared" si="9"/>
        <v>5120</v>
      </c>
      <c r="M27" s="261">
        <f t="shared" si="9"/>
        <v>5120</v>
      </c>
      <c r="N27" s="261">
        <f t="shared" si="9"/>
        <v>5120</v>
      </c>
      <c r="O27" s="261">
        <f t="shared" si="9"/>
        <v>5120</v>
      </c>
      <c r="P27" s="148"/>
      <c r="Q27" s="92"/>
      <c r="R27" s="92"/>
      <c r="S27" s="92"/>
      <c r="T27" s="92"/>
      <c r="U27" s="92"/>
      <c r="V27" s="92"/>
    </row>
    <row r="28" spans="1:22">
      <c r="A28" s="5">
        <f t="shared" si="1"/>
        <v>28</v>
      </c>
      <c r="B28" s="184" t="s">
        <v>154</v>
      </c>
      <c r="C28" s="649"/>
      <c r="D28" s="234"/>
      <c r="E28" s="235"/>
      <c r="F28" s="235"/>
      <c r="G28" s="235"/>
      <c r="H28" s="235"/>
      <c r="I28" s="235"/>
      <c r="J28" s="235"/>
      <c r="K28" s="235"/>
      <c r="L28" s="235"/>
      <c r="M28" s="235"/>
      <c r="N28" s="235"/>
      <c r="O28" s="235"/>
      <c r="P28" s="7" t="s">
        <v>289</v>
      </c>
      <c r="Q28" s="92"/>
      <c r="R28" s="92"/>
      <c r="S28" s="92"/>
      <c r="T28" s="92"/>
      <c r="U28" s="92"/>
      <c r="V28" s="92"/>
    </row>
    <row r="29" spans="1:22">
      <c r="A29" s="5">
        <f t="shared" si="1"/>
        <v>29</v>
      </c>
      <c r="B29" s="185" t="s">
        <v>164</v>
      </c>
      <c r="C29" s="649"/>
      <c r="D29" s="236"/>
      <c r="E29" s="237"/>
      <c r="F29" s="237"/>
      <c r="G29" s="237"/>
      <c r="H29" s="237"/>
      <c r="I29" s="237"/>
      <c r="J29" s="237"/>
      <c r="K29" s="237"/>
      <c r="L29" s="237"/>
      <c r="M29" s="237"/>
      <c r="N29" s="237"/>
      <c r="O29" s="237"/>
      <c r="P29" s="7" t="s">
        <v>289</v>
      </c>
      <c r="Q29" s="92"/>
      <c r="R29" s="92"/>
      <c r="S29" s="92"/>
      <c r="T29" s="92"/>
      <c r="U29" s="92"/>
      <c r="V29" s="92"/>
    </row>
    <row r="30" spans="1:22">
      <c r="A30" s="5">
        <f t="shared" si="1"/>
        <v>30</v>
      </c>
      <c r="B30" s="185" t="s">
        <v>155</v>
      </c>
      <c r="C30" s="649"/>
      <c r="D30" s="236"/>
      <c r="E30" s="237"/>
      <c r="F30" s="237"/>
      <c r="G30" s="237"/>
      <c r="H30" s="237"/>
      <c r="I30" s="237"/>
      <c r="J30" s="237"/>
      <c r="K30" s="237"/>
      <c r="L30" s="237"/>
      <c r="M30" s="237"/>
      <c r="N30" s="237"/>
      <c r="O30" s="237"/>
      <c r="P30" s="7" t="s">
        <v>289</v>
      </c>
      <c r="Q30" s="92"/>
      <c r="R30" s="92"/>
      <c r="S30" s="92"/>
      <c r="T30" s="92"/>
      <c r="U30" s="92"/>
      <c r="V30" s="92"/>
    </row>
    <row r="31" spans="1:22">
      <c r="A31" s="5">
        <f t="shared" si="1"/>
        <v>31</v>
      </c>
      <c r="B31" s="185" t="s">
        <v>140</v>
      </c>
      <c r="C31" s="649"/>
      <c r="D31" s="236"/>
      <c r="E31" s="237"/>
      <c r="F31" s="237"/>
      <c r="G31" s="237"/>
      <c r="H31" s="237"/>
      <c r="I31" s="237"/>
      <c r="J31" s="237"/>
      <c r="K31" s="237"/>
      <c r="L31" s="237"/>
      <c r="M31" s="237"/>
      <c r="N31" s="237"/>
      <c r="O31" s="237"/>
      <c r="P31" s="7" t="s">
        <v>289</v>
      </c>
      <c r="Q31" s="92"/>
      <c r="R31" s="92"/>
      <c r="S31" s="92"/>
      <c r="T31" s="92"/>
      <c r="U31" s="92"/>
      <c r="V31" s="92"/>
    </row>
    <row r="32" spans="1:22">
      <c r="A32" s="5">
        <f t="shared" si="1"/>
        <v>32</v>
      </c>
      <c r="B32" s="185" t="s">
        <v>214</v>
      </c>
      <c r="C32" s="649"/>
      <c r="D32" s="236"/>
      <c r="E32" s="237"/>
      <c r="F32" s="237"/>
      <c r="G32" s="237"/>
      <c r="H32" s="237"/>
      <c r="I32" s="237"/>
      <c r="J32" s="237"/>
      <c r="K32" s="237"/>
      <c r="L32" s="237"/>
      <c r="M32" s="237"/>
      <c r="N32" s="237"/>
      <c r="O32" s="237"/>
      <c r="P32" s="3" t="s">
        <v>289</v>
      </c>
      <c r="Q32" s="92"/>
      <c r="R32" s="92"/>
      <c r="S32" s="92"/>
      <c r="T32" s="92"/>
      <c r="U32" s="92"/>
      <c r="V32" s="92"/>
    </row>
    <row r="33" spans="1:22">
      <c r="A33" s="5">
        <f t="shared" si="1"/>
        <v>33</v>
      </c>
      <c r="B33" s="185" t="s">
        <v>156</v>
      </c>
      <c r="C33" s="649"/>
      <c r="D33" s="236"/>
      <c r="E33" s="237"/>
      <c r="F33" s="237"/>
      <c r="G33" s="237"/>
      <c r="H33" s="237"/>
      <c r="I33" s="237"/>
      <c r="J33" s="237"/>
      <c r="K33" s="237"/>
      <c r="L33" s="237"/>
      <c r="M33" s="237"/>
      <c r="N33" s="237"/>
      <c r="O33" s="237"/>
      <c r="P33" s="7" t="s">
        <v>85</v>
      </c>
      <c r="Q33" s="92"/>
      <c r="R33" s="92"/>
      <c r="S33" s="92"/>
      <c r="T33" s="92"/>
      <c r="U33" s="92"/>
      <c r="V33" s="92"/>
    </row>
    <row r="34" spans="1:22">
      <c r="A34" s="5">
        <f t="shared" si="1"/>
        <v>34</v>
      </c>
      <c r="B34" s="185" t="s">
        <v>158</v>
      </c>
      <c r="C34" s="649"/>
      <c r="D34" s="236"/>
      <c r="E34" s="237"/>
      <c r="F34" s="237"/>
      <c r="G34" s="237"/>
      <c r="H34" s="237"/>
      <c r="I34" s="237"/>
      <c r="J34" s="237"/>
      <c r="K34" s="237"/>
      <c r="L34" s="237"/>
      <c r="M34" s="237"/>
      <c r="N34" s="237"/>
      <c r="O34" s="237"/>
      <c r="P34" s="7" t="s">
        <v>77</v>
      </c>
      <c r="Q34" s="92"/>
      <c r="R34" s="92"/>
      <c r="S34" s="92"/>
      <c r="T34" s="92"/>
      <c r="U34" s="92"/>
      <c r="V34" s="92"/>
    </row>
    <row r="35" spans="1:22">
      <c r="A35" s="5">
        <f t="shared" si="1"/>
        <v>35</v>
      </c>
      <c r="B35" s="185" t="s">
        <v>157</v>
      </c>
      <c r="C35" s="649"/>
      <c r="D35" s="236"/>
      <c r="E35" s="237"/>
      <c r="F35" s="237"/>
      <c r="G35" s="237"/>
      <c r="H35" s="237"/>
      <c r="I35" s="237"/>
      <c r="J35" s="237"/>
      <c r="K35" s="237"/>
      <c r="L35" s="237"/>
      <c r="M35" s="237"/>
      <c r="N35" s="237"/>
      <c r="O35" s="237"/>
      <c r="P35" s="7" t="s">
        <v>77</v>
      </c>
      <c r="Q35" s="92"/>
      <c r="R35" s="92"/>
      <c r="S35" s="92"/>
      <c r="T35" s="92"/>
      <c r="U35" s="92"/>
      <c r="V35" s="92"/>
    </row>
    <row r="36" spans="1:22">
      <c r="A36" s="5">
        <f t="shared" si="1"/>
        <v>36</v>
      </c>
      <c r="B36" s="185" t="s">
        <v>159</v>
      </c>
      <c r="C36" s="649"/>
      <c r="D36" s="236"/>
      <c r="E36" s="237"/>
      <c r="F36" s="237"/>
      <c r="G36" s="237"/>
      <c r="H36" s="237"/>
      <c r="I36" s="237"/>
      <c r="J36" s="237"/>
      <c r="K36" s="237"/>
      <c r="L36" s="237"/>
      <c r="M36" s="237"/>
      <c r="N36" s="237"/>
      <c r="O36" s="237"/>
      <c r="P36" s="7" t="s">
        <v>147</v>
      </c>
      <c r="Q36" s="92"/>
      <c r="R36" s="92"/>
      <c r="S36" s="92"/>
      <c r="T36" s="92"/>
      <c r="U36" s="92"/>
      <c r="V36" s="92"/>
    </row>
    <row r="37" spans="1:22">
      <c r="A37" s="5">
        <f t="shared" si="1"/>
        <v>37</v>
      </c>
      <c r="B37" s="185" t="s">
        <v>219</v>
      </c>
      <c r="C37" s="649"/>
      <c r="D37" s="238" t="s">
        <v>343</v>
      </c>
      <c r="E37" s="239"/>
      <c r="F37" s="239"/>
      <c r="G37" s="239"/>
      <c r="H37" s="239"/>
      <c r="I37" s="239"/>
      <c r="J37" s="239"/>
      <c r="K37" s="239"/>
      <c r="L37" s="239"/>
      <c r="M37" s="262">
        <f>IF(M21&gt;0,ROUND(1.5%*P88,2),0)</f>
        <v>3133.2</v>
      </c>
      <c r="N37" s="262">
        <f>IF(AND(N21&gt;0,M37=0),ROUND(1.5%*P88,2),0)</f>
        <v>0</v>
      </c>
      <c r="O37" s="262">
        <f>IF(AND(O21&gt;0,SUM(M37:N37)=0),ROUND(1.5%*P88,2),0)</f>
        <v>0</v>
      </c>
      <c r="P37" s="7" t="s">
        <v>262</v>
      </c>
      <c r="Q37" s="92"/>
      <c r="R37" s="92"/>
      <c r="S37" s="92"/>
      <c r="T37" s="92"/>
      <c r="U37" s="92"/>
      <c r="V37" s="92"/>
    </row>
    <row r="38" spans="1:22">
      <c r="A38" s="5">
        <f t="shared" si="1"/>
        <v>38</v>
      </c>
      <c r="B38" s="186" t="s">
        <v>145</v>
      </c>
      <c r="C38" s="649"/>
      <c r="D38" s="236"/>
      <c r="E38" s="237"/>
      <c r="F38" s="237"/>
      <c r="G38" s="237"/>
      <c r="H38" s="237"/>
      <c r="I38" s="237"/>
      <c r="J38" s="237"/>
      <c r="K38" s="237"/>
      <c r="L38" s="237"/>
      <c r="M38" s="237"/>
      <c r="N38" s="237"/>
      <c r="O38" s="237"/>
      <c r="P38" s="89"/>
      <c r="Q38" s="92"/>
      <c r="R38" s="92"/>
      <c r="S38" s="92"/>
      <c r="T38" s="92"/>
      <c r="U38" s="92"/>
      <c r="V38" s="92"/>
    </row>
    <row r="39" spans="1:22">
      <c r="A39" s="5">
        <f t="shared" si="1"/>
        <v>39</v>
      </c>
      <c r="B39" s="186" t="s">
        <v>160</v>
      </c>
      <c r="C39" s="649"/>
      <c r="D39" s="236"/>
      <c r="E39" s="237"/>
      <c r="F39" s="237"/>
      <c r="G39" s="237"/>
      <c r="H39" s="237"/>
      <c r="I39" s="237"/>
      <c r="J39" s="237"/>
      <c r="K39" s="237"/>
      <c r="L39" s="237"/>
      <c r="M39" s="237"/>
      <c r="N39" s="237"/>
      <c r="O39" s="237"/>
      <c r="P39" s="89"/>
      <c r="Q39" s="92"/>
      <c r="R39" s="92"/>
      <c r="S39" s="92"/>
      <c r="T39" s="92"/>
      <c r="U39" s="92"/>
      <c r="V39" s="92"/>
    </row>
    <row r="40" spans="1:22">
      <c r="A40" s="5">
        <f t="shared" si="1"/>
        <v>40</v>
      </c>
      <c r="B40" s="186" t="s">
        <v>143</v>
      </c>
      <c r="C40" s="649"/>
      <c r="D40" s="236"/>
      <c r="E40" s="237"/>
      <c r="F40" s="237"/>
      <c r="G40" s="237"/>
      <c r="H40" s="237"/>
      <c r="I40" s="237"/>
      <c r="J40" s="237"/>
      <c r="K40" s="237"/>
      <c r="L40" s="237"/>
      <c r="M40" s="237"/>
      <c r="N40" s="237"/>
      <c r="O40" s="237"/>
      <c r="P40" s="89"/>
      <c r="Q40" s="92"/>
      <c r="R40" s="92"/>
      <c r="S40" s="92"/>
      <c r="T40" s="92"/>
      <c r="U40" s="92"/>
      <c r="V40" s="92"/>
    </row>
    <row r="41" spans="1:22">
      <c r="A41" s="5">
        <f t="shared" si="1"/>
        <v>41</v>
      </c>
      <c r="B41" s="186" t="s">
        <v>146</v>
      </c>
      <c r="C41" s="649"/>
      <c r="D41" s="236"/>
      <c r="E41" s="237"/>
      <c r="F41" s="237"/>
      <c r="G41" s="237"/>
      <c r="H41" s="237"/>
      <c r="I41" s="237"/>
      <c r="J41" s="237"/>
      <c r="K41" s="237"/>
      <c r="L41" s="237"/>
      <c r="M41" s="237"/>
      <c r="N41" s="237"/>
      <c r="O41" s="237"/>
      <c r="P41" s="89"/>
      <c r="Q41" s="92"/>
      <c r="R41" s="92"/>
      <c r="S41" s="92"/>
      <c r="T41" s="92"/>
      <c r="U41" s="92"/>
      <c r="V41" s="92"/>
    </row>
    <row r="42" spans="1:22">
      <c r="A42" s="5">
        <f t="shared" si="1"/>
        <v>42</v>
      </c>
      <c r="B42" s="187" t="s">
        <v>141</v>
      </c>
      <c r="C42" s="650"/>
      <c r="D42" s="240"/>
      <c r="E42" s="241"/>
      <c r="F42" s="241"/>
      <c r="G42" s="241"/>
      <c r="H42" s="241"/>
      <c r="I42" s="241"/>
      <c r="J42" s="241"/>
      <c r="K42" s="241"/>
      <c r="L42" s="241"/>
      <c r="M42" s="241"/>
      <c r="N42" s="241"/>
      <c r="O42" s="241"/>
      <c r="P42" s="149"/>
      <c r="Q42" s="92"/>
      <c r="R42" s="92"/>
      <c r="S42" s="92"/>
      <c r="T42" s="92"/>
      <c r="U42" s="92"/>
      <c r="V42" s="92"/>
    </row>
    <row r="43" spans="1:22" ht="32" customHeight="1">
      <c r="A43" s="128">
        <f t="shared" si="1"/>
        <v>43</v>
      </c>
      <c r="B43" s="188" t="s">
        <v>227</v>
      </c>
      <c r="C43" s="78" t="str">
        <f>C2</f>
        <v>jan-jul</v>
      </c>
      <c r="D43" s="214" t="str">
        <f>D2</f>
        <v>AUG 11</v>
      </c>
      <c r="E43" s="78" t="str">
        <f t="shared" ref="E43:O43" si="10">E2</f>
        <v>SEP11</v>
      </c>
      <c r="F43" s="78" t="str">
        <f t="shared" si="10"/>
        <v>OKT 11</v>
      </c>
      <c r="G43" s="78" t="str">
        <f t="shared" si="10"/>
        <v>NOV 11</v>
      </c>
      <c r="H43" s="78" t="str">
        <f t="shared" si="10"/>
        <v>DEC 11</v>
      </c>
      <c r="I43" s="78" t="str">
        <f t="shared" si="10"/>
        <v>JAN 12</v>
      </c>
      <c r="J43" s="78" t="str">
        <f t="shared" si="10"/>
        <v>FEB 12</v>
      </c>
      <c r="K43" s="78" t="str">
        <f t="shared" si="10"/>
        <v>MAR 12</v>
      </c>
      <c r="L43" s="78" t="str">
        <f t="shared" si="10"/>
        <v>APR 12</v>
      </c>
      <c r="M43" s="78" t="str">
        <f t="shared" si="10"/>
        <v>MAJ12</v>
      </c>
      <c r="N43" s="78" t="str">
        <f t="shared" si="10"/>
        <v>JUN 12</v>
      </c>
      <c r="O43" s="78" t="str">
        <f t="shared" si="10"/>
        <v>JUL 12</v>
      </c>
      <c r="P43" s="83" t="s">
        <v>122</v>
      </c>
      <c r="Q43" s="92"/>
      <c r="R43" s="92"/>
      <c r="S43" s="92"/>
      <c r="T43" s="92"/>
      <c r="U43" s="92"/>
      <c r="V43" s="92"/>
    </row>
    <row r="44" spans="1:22">
      <c r="A44" s="128">
        <f t="shared" si="1"/>
        <v>44</v>
      </c>
      <c r="B44" s="162" t="s">
        <v>94</v>
      </c>
      <c r="C44" s="228"/>
      <c r="D44" s="215">
        <f t="shared" ref="D44:K44" si="11">ROUND(IF(D9&gt;0,ROUND((ROUND(VLOOKUP(D4,basistabel,2,0)*D7,0))/12,2),0)*D9*D3,2)</f>
        <v>14693.44</v>
      </c>
      <c r="E44" s="108">
        <f t="shared" si="11"/>
        <v>14693.44</v>
      </c>
      <c r="F44" s="108">
        <f t="shared" si="11"/>
        <v>14693.44</v>
      </c>
      <c r="G44" s="108">
        <f t="shared" si="11"/>
        <v>14693.44</v>
      </c>
      <c r="H44" s="108">
        <f t="shared" si="11"/>
        <v>14693.44</v>
      </c>
      <c r="I44" s="108">
        <f t="shared" si="11"/>
        <v>14693.44</v>
      </c>
      <c r="J44" s="108">
        <f t="shared" si="11"/>
        <v>14693.44</v>
      </c>
      <c r="K44" s="108">
        <f t="shared" si="11"/>
        <v>14693.44</v>
      </c>
      <c r="L44" s="108">
        <f>ROUND(IF(L9&gt;0,ROUND((ROUND(VLOOKUP(L4,basistabel12,2,0)*L7,0))/12,2),0)*L9*L3,2)</f>
        <v>14885.03</v>
      </c>
      <c r="M44" s="108">
        <f>ROUND(IF(M9&gt;0,ROUND((ROUND(VLOOKUP(M4,basistabel12,2,0)*M7,0))/12,2),0)*M9*M3,2)</f>
        <v>14885.03</v>
      </c>
      <c r="N44" s="108">
        <f>ROUND(IF(N9&gt;0,ROUND((ROUND(VLOOKUP(N4,basistabel12,2,0)*N7,0))/12,2),0)*N9*N3,2)</f>
        <v>14885.03</v>
      </c>
      <c r="O44" s="108">
        <f>ROUND(IF(O9&gt;0,ROUND((ROUND(VLOOKUP(O4,basistabel12,2,0)*O7,0))/12,2),0)*O9*O3,2)</f>
        <v>14885.03</v>
      </c>
      <c r="P44" s="122">
        <f t="shared" ref="P44:P81" si="12">SUM(D44:O44)</f>
        <v>177087.64</v>
      </c>
      <c r="Q44" s="92"/>
      <c r="R44" s="92"/>
      <c r="S44" s="92"/>
      <c r="T44" s="92"/>
      <c r="U44" s="92"/>
      <c r="V44" s="92"/>
    </row>
    <row r="45" spans="1:22">
      <c r="A45" s="23">
        <f>A44+1</f>
        <v>45</v>
      </c>
      <c r="B45" s="163" t="s">
        <v>95</v>
      </c>
      <c r="C45" s="228"/>
      <c r="D45" s="216">
        <f t="shared" ref="D45:K45" si="13">ROUND(IF(D9&gt;0,ROUND((VLOOKUP(D4,omraadetabel,D8,0))/12,2),0)*D9*D3,2)</f>
        <v>248.03</v>
      </c>
      <c r="E45" s="110">
        <f t="shared" si="13"/>
        <v>248.03</v>
      </c>
      <c r="F45" s="110">
        <f t="shared" si="13"/>
        <v>248.03</v>
      </c>
      <c r="G45" s="110">
        <f t="shared" si="13"/>
        <v>248.03</v>
      </c>
      <c r="H45" s="110">
        <f t="shared" si="13"/>
        <v>248.03</v>
      </c>
      <c r="I45" s="110">
        <f t="shared" si="13"/>
        <v>248.03</v>
      </c>
      <c r="J45" s="110">
        <f t="shared" si="13"/>
        <v>248.03</v>
      </c>
      <c r="K45" s="110">
        <f t="shared" si="13"/>
        <v>248.03</v>
      </c>
      <c r="L45" s="110">
        <f>ROUND(IF(L9&gt;0,ROUND((VLOOKUP(L4,omraadetabel12,L8,0))/12,2),0)*L9*L3,2)</f>
        <v>248.03</v>
      </c>
      <c r="M45" s="110">
        <f>ROUND(IF(M9&gt;0,ROUND((VLOOKUP(M4,omraadetabel,M8,0))/12,2),0)*M9*M3,2)</f>
        <v>248.03</v>
      </c>
      <c r="N45" s="110">
        <f>ROUND(IF(N9&gt;0,ROUND((VLOOKUP(N4,omraadetabel,N8,0))/12,2),0)*N9*N3,2)</f>
        <v>248.03</v>
      </c>
      <c r="O45" s="110">
        <f>ROUND(IF(O9&gt;0,ROUND((VLOOKUP(O4,omraadetabel,O8,0))/12,2),0)*O9*O3,2)</f>
        <v>248.03</v>
      </c>
      <c r="P45" s="111">
        <f t="shared" si="12"/>
        <v>2976.3600000000006</v>
      </c>
      <c r="Q45" s="92"/>
      <c r="R45" s="92"/>
      <c r="S45" s="92"/>
      <c r="T45" s="92"/>
      <c r="U45" s="92"/>
      <c r="V45" s="92"/>
    </row>
    <row r="46" spans="1:22">
      <c r="A46" s="23">
        <f t="shared" ref="A46:A81" si="14">A45+1</f>
        <v>46</v>
      </c>
      <c r="B46" s="163" t="s">
        <v>183</v>
      </c>
      <c r="C46" s="228"/>
      <c r="D46" s="216">
        <f t="shared" ref="D46:O46" si="15">ROUND(SUM(D102:D105)*D3,2)</f>
        <v>1120.5</v>
      </c>
      <c r="E46" s="110">
        <f t="shared" si="15"/>
        <v>1120.5</v>
      </c>
      <c r="F46" s="110">
        <f t="shared" si="15"/>
        <v>1120.5</v>
      </c>
      <c r="G46" s="110">
        <f t="shared" si="15"/>
        <v>1120.5</v>
      </c>
      <c r="H46" s="110">
        <f t="shared" si="15"/>
        <v>1120.5</v>
      </c>
      <c r="I46" s="110">
        <f t="shared" si="15"/>
        <v>1120.5</v>
      </c>
      <c r="J46" s="110">
        <f t="shared" si="15"/>
        <v>1120.5</v>
      </c>
      <c r="K46" s="110">
        <f t="shared" si="15"/>
        <v>1120.5</v>
      </c>
      <c r="L46" s="110">
        <f t="shared" si="15"/>
        <v>1135</v>
      </c>
      <c r="M46" s="110">
        <f t="shared" si="15"/>
        <v>1135</v>
      </c>
      <c r="N46" s="110">
        <f t="shared" si="15"/>
        <v>1135</v>
      </c>
      <c r="O46" s="110">
        <f t="shared" si="15"/>
        <v>1135</v>
      </c>
      <c r="P46" s="111">
        <f t="shared" si="12"/>
        <v>13504</v>
      </c>
      <c r="Q46" s="92"/>
      <c r="R46" s="92"/>
      <c r="S46" s="92"/>
      <c r="T46" s="92"/>
      <c r="U46" s="92"/>
      <c r="V46" s="92"/>
    </row>
    <row r="47" spans="1:22">
      <c r="A47" s="23">
        <f t="shared" si="14"/>
        <v>47</v>
      </c>
      <c r="B47" s="163" t="s">
        <v>184</v>
      </c>
      <c r="C47" s="228"/>
      <c r="D47" s="216">
        <f t="shared" ref="D47:O47" si="16">ROUND(D11*D$7*D3/12,2)</f>
        <v>0</v>
      </c>
      <c r="E47" s="110">
        <f t="shared" si="16"/>
        <v>0</v>
      </c>
      <c r="F47" s="110">
        <f t="shared" si="16"/>
        <v>0</v>
      </c>
      <c r="G47" s="110">
        <f t="shared" si="16"/>
        <v>0</v>
      </c>
      <c r="H47" s="110">
        <f t="shared" si="16"/>
        <v>0</v>
      </c>
      <c r="I47" s="110">
        <f t="shared" si="16"/>
        <v>0</v>
      </c>
      <c r="J47" s="110">
        <f t="shared" si="16"/>
        <v>0</v>
      </c>
      <c r="K47" s="110">
        <f t="shared" si="16"/>
        <v>0</v>
      </c>
      <c r="L47" s="110">
        <f t="shared" si="16"/>
        <v>0</v>
      </c>
      <c r="M47" s="110">
        <f t="shared" si="16"/>
        <v>0</v>
      </c>
      <c r="N47" s="110">
        <f t="shared" si="16"/>
        <v>0</v>
      </c>
      <c r="O47" s="110">
        <f t="shared" si="16"/>
        <v>0</v>
      </c>
      <c r="P47" s="111">
        <f t="shared" si="12"/>
        <v>0</v>
      </c>
      <c r="Q47" s="92"/>
      <c r="R47" s="92"/>
      <c r="S47" s="92"/>
      <c r="T47" s="92"/>
      <c r="U47" s="92"/>
      <c r="V47" s="92"/>
    </row>
    <row r="48" spans="1:22">
      <c r="A48" s="23">
        <f t="shared" si="14"/>
        <v>48</v>
      </c>
      <c r="B48" s="163" t="s">
        <v>185</v>
      </c>
      <c r="C48" s="228"/>
      <c r="D48" s="216">
        <f t="shared" ref="D48:O48" si="17">ROUND(D12*D$7*D3/12,2)</f>
        <v>0</v>
      </c>
      <c r="E48" s="110">
        <f t="shared" si="17"/>
        <v>0</v>
      </c>
      <c r="F48" s="110">
        <f t="shared" si="17"/>
        <v>0</v>
      </c>
      <c r="G48" s="110">
        <f t="shared" si="17"/>
        <v>0</v>
      </c>
      <c r="H48" s="110">
        <f t="shared" si="17"/>
        <v>0</v>
      </c>
      <c r="I48" s="110">
        <f t="shared" si="17"/>
        <v>0</v>
      </c>
      <c r="J48" s="110">
        <f t="shared" si="17"/>
        <v>0</v>
      </c>
      <c r="K48" s="110">
        <f t="shared" si="17"/>
        <v>0</v>
      </c>
      <c r="L48" s="110">
        <f t="shared" si="17"/>
        <v>0</v>
      </c>
      <c r="M48" s="110">
        <f t="shared" si="17"/>
        <v>0</v>
      </c>
      <c r="N48" s="110">
        <f t="shared" si="17"/>
        <v>0</v>
      </c>
      <c r="O48" s="110">
        <f t="shared" si="17"/>
        <v>0</v>
      </c>
      <c r="P48" s="111">
        <f t="shared" si="12"/>
        <v>0</v>
      </c>
      <c r="Q48" s="92"/>
      <c r="R48" s="92"/>
      <c r="S48" s="92"/>
      <c r="T48" s="92"/>
      <c r="U48" s="92"/>
      <c r="V48" s="92"/>
    </row>
    <row r="49" spans="1:22">
      <c r="A49" s="23">
        <f t="shared" si="14"/>
        <v>49</v>
      </c>
      <c r="B49" s="163" t="s">
        <v>186</v>
      </c>
      <c r="C49" s="228"/>
      <c r="D49" s="216">
        <f t="shared" ref="D49:O49" si="18">ROUND(D13*D$7/12*D3,2)</f>
        <v>0</v>
      </c>
      <c r="E49" s="110">
        <f t="shared" si="18"/>
        <v>0</v>
      </c>
      <c r="F49" s="110">
        <f t="shared" si="18"/>
        <v>0</v>
      </c>
      <c r="G49" s="110">
        <f t="shared" si="18"/>
        <v>0</v>
      </c>
      <c r="H49" s="110">
        <f t="shared" si="18"/>
        <v>0</v>
      </c>
      <c r="I49" s="110">
        <f t="shared" si="18"/>
        <v>0</v>
      </c>
      <c r="J49" s="110">
        <f t="shared" si="18"/>
        <v>0</v>
      </c>
      <c r="K49" s="110">
        <f t="shared" si="18"/>
        <v>0</v>
      </c>
      <c r="L49" s="110">
        <f t="shared" si="18"/>
        <v>0</v>
      </c>
      <c r="M49" s="110">
        <f t="shared" si="18"/>
        <v>0</v>
      </c>
      <c r="N49" s="110">
        <f t="shared" si="18"/>
        <v>0</v>
      </c>
      <c r="O49" s="110">
        <f t="shared" si="18"/>
        <v>0</v>
      </c>
      <c r="P49" s="111">
        <f t="shared" si="12"/>
        <v>0</v>
      </c>
      <c r="Q49" s="92"/>
      <c r="R49" s="92"/>
      <c r="S49" s="92"/>
      <c r="T49" s="92"/>
      <c r="U49" s="92"/>
      <c r="V49" s="92"/>
    </row>
    <row r="50" spans="1:22">
      <c r="A50" s="23">
        <f t="shared" si="14"/>
        <v>50</v>
      </c>
      <c r="B50" s="163" t="s">
        <v>187</v>
      </c>
      <c r="C50" s="228"/>
      <c r="D50" s="216">
        <f t="shared" ref="D50:O50" si="19">ROUND(D14*D$7/12*D3,2)</f>
        <v>0</v>
      </c>
      <c r="E50" s="110">
        <f t="shared" si="19"/>
        <v>0</v>
      </c>
      <c r="F50" s="110">
        <f t="shared" si="19"/>
        <v>0</v>
      </c>
      <c r="G50" s="110">
        <f t="shared" si="19"/>
        <v>0</v>
      </c>
      <c r="H50" s="110">
        <f t="shared" si="19"/>
        <v>0</v>
      </c>
      <c r="I50" s="110">
        <f t="shared" si="19"/>
        <v>0</v>
      </c>
      <c r="J50" s="110">
        <f t="shared" si="19"/>
        <v>0</v>
      </c>
      <c r="K50" s="110">
        <f t="shared" si="19"/>
        <v>0</v>
      </c>
      <c r="L50" s="110">
        <f t="shared" si="19"/>
        <v>0</v>
      </c>
      <c r="M50" s="110">
        <f t="shared" si="19"/>
        <v>0</v>
      </c>
      <c r="N50" s="110">
        <f t="shared" si="19"/>
        <v>0</v>
      </c>
      <c r="O50" s="110">
        <f t="shared" si="19"/>
        <v>0</v>
      </c>
      <c r="P50" s="111">
        <f t="shared" si="12"/>
        <v>0</v>
      </c>
      <c r="Q50" s="92"/>
      <c r="R50" s="92"/>
      <c r="S50" s="92"/>
      <c r="T50" s="92"/>
      <c r="U50" s="92"/>
      <c r="V50" s="92"/>
    </row>
    <row r="51" spans="1:22">
      <c r="A51" s="23">
        <f t="shared" si="14"/>
        <v>51</v>
      </c>
      <c r="B51" s="163" t="s">
        <v>188</v>
      </c>
      <c r="C51" s="228"/>
      <c r="D51" s="216">
        <f t="shared" ref="D51:O51" si="20">ROUND(D15*D$7/12*D3,2)</f>
        <v>0</v>
      </c>
      <c r="E51" s="110">
        <f t="shared" si="20"/>
        <v>0</v>
      </c>
      <c r="F51" s="110">
        <f t="shared" si="20"/>
        <v>0</v>
      </c>
      <c r="G51" s="110">
        <f t="shared" si="20"/>
        <v>0</v>
      </c>
      <c r="H51" s="110">
        <f t="shared" si="20"/>
        <v>0</v>
      </c>
      <c r="I51" s="110">
        <f t="shared" si="20"/>
        <v>0</v>
      </c>
      <c r="J51" s="110">
        <f t="shared" si="20"/>
        <v>0</v>
      </c>
      <c r="K51" s="110">
        <f t="shared" si="20"/>
        <v>0</v>
      </c>
      <c r="L51" s="110">
        <f t="shared" si="20"/>
        <v>0</v>
      </c>
      <c r="M51" s="110">
        <f t="shared" si="20"/>
        <v>0</v>
      </c>
      <c r="N51" s="110">
        <f t="shared" si="20"/>
        <v>0</v>
      </c>
      <c r="O51" s="110">
        <f t="shared" si="20"/>
        <v>0</v>
      </c>
      <c r="P51" s="111">
        <f t="shared" si="12"/>
        <v>0</v>
      </c>
      <c r="Q51" s="92"/>
      <c r="R51" s="92"/>
      <c r="S51" s="92"/>
      <c r="T51" s="92"/>
      <c r="U51" s="92"/>
      <c r="V51" s="92"/>
    </row>
    <row r="52" spans="1:22">
      <c r="A52" s="23">
        <f t="shared" si="14"/>
        <v>52</v>
      </c>
      <c r="B52" s="163" t="s">
        <v>189</v>
      </c>
      <c r="C52" s="228"/>
      <c r="D52" s="216">
        <f t="shared" ref="D52:O52" si="21">ROUND(D16*D$7*D$9/12*D3,2)</f>
        <v>866.87</v>
      </c>
      <c r="E52" s="110">
        <f t="shared" si="21"/>
        <v>866.87</v>
      </c>
      <c r="F52" s="110">
        <f t="shared" si="21"/>
        <v>866.87</v>
      </c>
      <c r="G52" s="110">
        <f t="shared" si="21"/>
        <v>866.87</v>
      </c>
      <c r="H52" s="110">
        <f t="shared" si="21"/>
        <v>866.87</v>
      </c>
      <c r="I52" s="110">
        <f t="shared" si="21"/>
        <v>866.87</v>
      </c>
      <c r="J52" s="110">
        <f t="shared" si="21"/>
        <v>866.87</v>
      </c>
      <c r="K52" s="110">
        <f t="shared" si="21"/>
        <v>866.87</v>
      </c>
      <c r="L52" s="110">
        <f t="shared" si="21"/>
        <v>876.62</v>
      </c>
      <c r="M52" s="110">
        <f t="shared" si="21"/>
        <v>876.62</v>
      </c>
      <c r="N52" s="110">
        <f t="shared" si="21"/>
        <v>876.62</v>
      </c>
      <c r="O52" s="110">
        <f t="shared" si="21"/>
        <v>876.62</v>
      </c>
      <c r="P52" s="111">
        <f t="shared" si="12"/>
        <v>10441.440000000002</v>
      </c>
      <c r="Q52" s="92"/>
      <c r="R52" s="92"/>
      <c r="S52" s="92"/>
      <c r="T52" s="92"/>
      <c r="U52" s="92"/>
      <c r="V52" s="92"/>
    </row>
    <row r="53" spans="1:22">
      <c r="A53" s="23">
        <f t="shared" si="14"/>
        <v>53</v>
      </c>
      <c r="B53" s="163" t="s">
        <v>190</v>
      </c>
      <c r="C53" s="228"/>
      <c r="D53" s="216">
        <f t="shared" ref="D53:O53" si="22">ROUND(D17*D$7*D$9/12*D3,2)</f>
        <v>0</v>
      </c>
      <c r="E53" s="110">
        <f t="shared" si="22"/>
        <v>0</v>
      </c>
      <c r="F53" s="110">
        <f t="shared" si="22"/>
        <v>0</v>
      </c>
      <c r="G53" s="110">
        <f t="shared" si="22"/>
        <v>0</v>
      </c>
      <c r="H53" s="110">
        <f t="shared" si="22"/>
        <v>0</v>
      </c>
      <c r="I53" s="110">
        <f t="shared" si="22"/>
        <v>0</v>
      </c>
      <c r="J53" s="110">
        <f t="shared" si="22"/>
        <v>0</v>
      </c>
      <c r="K53" s="110">
        <f t="shared" si="22"/>
        <v>0</v>
      </c>
      <c r="L53" s="110">
        <f t="shared" si="22"/>
        <v>0</v>
      </c>
      <c r="M53" s="110">
        <f t="shared" si="22"/>
        <v>0</v>
      </c>
      <c r="N53" s="110">
        <f t="shared" si="22"/>
        <v>0</v>
      </c>
      <c r="O53" s="110">
        <f t="shared" si="22"/>
        <v>0</v>
      </c>
      <c r="P53" s="111">
        <f t="shared" si="12"/>
        <v>0</v>
      </c>
      <c r="Q53" s="92"/>
      <c r="R53" s="92"/>
      <c r="S53" s="92"/>
      <c r="T53" s="92"/>
      <c r="U53" s="92"/>
      <c r="V53" s="92"/>
    </row>
    <row r="54" spans="1:22">
      <c r="A54" s="23">
        <f t="shared" si="14"/>
        <v>54</v>
      </c>
      <c r="B54" s="163" t="s">
        <v>125</v>
      </c>
      <c r="C54" s="228"/>
      <c r="D54" s="216">
        <f t="shared" ref="D54:O54" si="23">ROUND(D18*D$7*D$9/12*D3,2)</f>
        <v>0</v>
      </c>
      <c r="E54" s="110">
        <f t="shared" si="23"/>
        <v>0</v>
      </c>
      <c r="F54" s="110">
        <f t="shared" si="23"/>
        <v>0</v>
      </c>
      <c r="G54" s="110">
        <f t="shared" si="23"/>
        <v>0</v>
      </c>
      <c r="H54" s="110">
        <f t="shared" si="23"/>
        <v>0</v>
      </c>
      <c r="I54" s="110">
        <f t="shared" si="23"/>
        <v>0</v>
      </c>
      <c r="J54" s="110">
        <f t="shared" si="23"/>
        <v>0</v>
      </c>
      <c r="K54" s="110">
        <f t="shared" si="23"/>
        <v>0</v>
      </c>
      <c r="L54" s="110">
        <f t="shared" si="23"/>
        <v>0</v>
      </c>
      <c r="M54" s="110">
        <f t="shared" si="23"/>
        <v>0</v>
      </c>
      <c r="N54" s="110">
        <f t="shared" si="23"/>
        <v>0</v>
      </c>
      <c r="O54" s="110">
        <f t="shared" si="23"/>
        <v>0</v>
      </c>
      <c r="P54" s="111">
        <f t="shared" si="12"/>
        <v>0</v>
      </c>
      <c r="Q54" s="92"/>
      <c r="R54" s="92"/>
      <c r="S54" s="92"/>
      <c r="T54" s="92"/>
      <c r="U54" s="92"/>
      <c r="V54" s="92"/>
    </row>
    <row r="55" spans="1:22">
      <c r="A55" s="23">
        <f t="shared" si="14"/>
        <v>55</v>
      </c>
      <c r="B55" s="163" t="s">
        <v>116</v>
      </c>
      <c r="C55" s="228"/>
      <c r="D55" s="216">
        <f t="shared" ref="D55:K55" si="24">ROUND(IF(OR(D$5="A",D$5="B"),MAX(235800+32300*(LEFT(D$4)="L")-VLOOKUP(D4,basistabel,2,0)-SUM(D$15:D$18),0),0)/12*D$7*D$9*D3,2)</f>
        <v>0</v>
      </c>
      <c r="E55" s="110">
        <f t="shared" si="24"/>
        <v>0</v>
      </c>
      <c r="F55" s="110">
        <f t="shared" si="24"/>
        <v>0</v>
      </c>
      <c r="G55" s="110">
        <f t="shared" si="24"/>
        <v>0</v>
      </c>
      <c r="H55" s="110">
        <f t="shared" si="24"/>
        <v>0</v>
      </c>
      <c r="I55" s="110">
        <f t="shared" si="24"/>
        <v>0</v>
      </c>
      <c r="J55" s="110">
        <f t="shared" si="24"/>
        <v>0</v>
      </c>
      <c r="K55" s="110">
        <f t="shared" si="24"/>
        <v>0</v>
      </c>
      <c r="L55" s="110">
        <f>ROUND(IF(OR(L$5="A",L$5="B"),MAX(309053.63+42334.32*(LEFT(L$4)="L")-VLOOKUP(L4,basistabel12,2,0)-SUM(L$15:L$18),0),0)/12*L$7*L$9*L3,2)</f>
        <v>0</v>
      </c>
      <c r="M55" s="110">
        <f>ROUND(IF(OR(M$5="A",M$5="B"),MAX(309053.63+42334.32*(LEFT(M$4)="L")-VLOOKUP(M4,basistabel12,2,0)-SUM(M$15:M$18),0),0)/12*M$7*M$9*M3,2)</f>
        <v>0</v>
      </c>
      <c r="N55" s="110">
        <f>ROUND(IF(OR(N$5="A",N$5="B"),MAX(309053.63+42334.32*(LEFT(N$4)="L")-VLOOKUP(N4,basistabel12,2,0)-SUM(N$15:N$18),0),0)/12*N$7*N$9*N3,2)</f>
        <v>0</v>
      </c>
      <c r="O55" s="110">
        <f>ROUND(IF(OR(O$5="A",O$5="B"),MAX(309053.63+42334.32*(LEFT(O$4)="L")-VLOOKUP(O4,basistabel12,2,0)-SUM(O$15:O$18),0),0)/12*O$7*O$9*O3,2)</f>
        <v>0</v>
      </c>
      <c r="P55" s="110" t="e">
        <f>ROUND(IF(OR(P$5="A",P$5="B"),MAX(309053.63+42334.32*(LEFT(P$4)="L")-VLOOKUP(P4,basistabel12,2,0)-SUM(P$15:P$18),0),0)/12*P$7*P$9*P3,2)</f>
        <v>#VALUE!</v>
      </c>
      <c r="Q55" s="92"/>
      <c r="R55" s="92"/>
      <c r="S55" s="92"/>
      <c r="T55" s="92"/>
      <c r="U55" s="92"/>
      <c r="V55" s="92"/>
    </row>
    <row r="56" spans="1:22">
      <c r="A56" s="23">
        <f t="shared" si="14"/>
        <v>56</v>
      </c>
      <c r="B56" s="163" t="s">
        <v>109</v>
      </c>
      <c r="C56" s="228"/>
      <c r="D56" s="216">
        <f t="shared" ref="D56:K56" si="25">MAX(ROUND((IF(RIGHT(D4)="1",4000)+IF(OR(RIGHT(D4)="2",RIGHT(D4)="3"),6000))*D7/12*D9*D3,2)-D55,0)*(D5&lt;&gt;"B")</f>
        <v>288.95999999999998</v>
      </c>
      <c r="E56" s="110">
        <f t="shared" si="25"/>
        <v>288.95999999999998</v>
      </c>
      <c r="F56" s="110">
        <f t="shared" si="25"/>
        <v>288.95999999999998</v>
      </c>
      <c r="G56" s="110">
        <f t="shared" si="25"/>
        <v>288.95999999999998</v>
      </c>
      <c r="H56" s="110">
        <f t="shared" si="25"/>
        <v>288.95999999999998</v>
      </c>
      <c r="I56" s="110">
        <f t="shared" si="25"/>
        <v>288.95999999999998</v>
      </c>
      <c r="J56" s="110">
        <f t="shared" si="25"/>
        <v>288.95999999999998</v>
      </c>
      <c r="K56" s="110">
        <f t="shared" si="25"/>
        <v>288.95999999999998</v>
      </c>
      <c r="L56" s="110">
        <f>MAX(ROUND((IF(RIGHT(L4)="1",5200)+IF(OR(RIGHT(L4)="2",RIGHT(L4)="3"),7900))*L7/12*L9*L3,2)-L55,0)*(L5&lt;&gt;"B")</f>
        <v>290.33999999999997</v>
      </c>
      <c r="M56" s="110">
        <f>MAX(ROUND((IF(RIGHT(M4)="1",5200)+IF(OR(RIGHT(M4)="2",RIGHT(M4)="3"),7900))*M7/12*M9*M3,2)-M55,0)*(M5&lt;&gt;"B")</f>
        <v>290.33999999999997</v>
      </c>
      <c r="N56" s="110">
        <f>MAX(ROUND((IF(RIGHT(N4)="1",5200)+IF(OR(RIGHT(N4)="2",RIGHT(N4)="3"),7900))*N7/12*N9*N3,2)-N55,0)*(N5&lt;&gt;"B")</f>
        <v>290.33999999999997</v>
      </c>
      <c r="O56" s="110">
        <f>MAX(ROUND((IF(RIGHT(O4)="1",5200)+IF(OR(RIGHT(O4)="2",RIGHT(O4)="3"),7900))*O7/12*O9*O3,2)-O55,0)*(O5&lt;&gt;"B")</f>
        <v>290.33999999999997</v>
      </c>
      <c r="P56" s="111">
        <f t="shared" si="12"/>
        <v>3473.0400000000004</v>
      </c>
      <c r="Q56" s="92"/>
      <c r="R56" s="92"/>
      <c r="S56" s="92"/>
      <c r="T56" s="92"/>
      <c r="U56" s="92"/>
      <c r="V56" s="92"/>
    </row>
    <row r="57" spans="1:22">
      <c r="A57" s="23">
        <f t="shared" si="14"/>
        <v>57</v>
      </c>
      <c r="B57" s="163" t="s">
        <v>110</v>
      </c>
      <c r="C57" s="228"/>
      <c r="D57" s="216">
        <f>MAX(ROUND((IF(RIGHT(D4)="1",4000)+IF(OR(RIGHT(D4)="2",RIGHT(D4)="3"),6000))*D7/12*D9*D3,2)-D55,0)*(D5="B")</f>
        <v>0</v>
      </c>
      <c r="E57" s="216">
        <f t="shared" ref="E57:K57" si="26">MAX(ROUND((IF(RIGHT(E4)="1",4000)+IF(OR(RIGHT(E4)="2",RIGHT(E4)="3"),6000))*E7/12*E9*E3,2)-E55,0)*(E5="B")</f>
        <v>0</v>
      </c>
      <c r="F57" s="216">
        <f t="shared" si="26"/>
        <v>0</v>
      </c>
      <c r="G57" s="216">
        <f t="shared" si="26"/>
        <v>0</v>
      </c>
      <c r="H57" s="216">
        <f t="shared" si="26"/>
        <v>0</v>
      </c>
      <c r="I57" s="216">
        <f t="shared" si="26"/>
        <v>0</v>
      </c>
      <c r="J57" s="216">
        <f t="shared" si="26"/>
        <v>0</v>
      </c>
      <c r="K57" s="216">
        <f t="shared" si="26"/>
        <v>0</v>
      </c>
      <c r="L57" s="216">
        <f>MAX(ROUND((IF(RIGHT(L4)="1",5200)+IF(OR(RIGHT(L4)="2",RIGHT(L4)="3"),7900))*L7/12*L9*L3,2)-L55,0)*(L5="B")</f>
        <v>0</v>
      </c>
      <c r="M57" s="216">
        <f>MAX(ROUND((IF(RIGHT(M4)="1",5200)+IF(OR(RIGHT(M4)="2",RIGHT(M4)="3"),7900))*M7/12*M9*M3,2)-M55,0)*(M5="B")</f>
        <v>0</v>
      </c>
      <c r="N57" s="216">
        <f>MAX(ROUND((IF(RIGHT(N4)="1",5200)+IF(OR(RIGHT(N4)="2",RIGHT(N4)="3"),7900))*N7/12*N9*N3,2)-N55,0)*(N5="B")</f>
        <v>0</v>
      </c>
      <c r="O57" s="216">
        <f>MAX(ROUND((IF(RIGHT(O4)="1",5200)+IF(OR(RIGHT(O4)="2",RIGHT(O4)="3"),7900))*O7/12*O9*O3,2)-O55,0)*(O5="B")</f>
        <v>0</v>
      </c>
      <c r="P57" s="111">
        <f t="shared" si="12"/>
        <v>0</v>
      </c>
      <c r="Q57" s="92"/>
      <c r="R57" s="92"/>
      <c r="S57" s="92"/>
      <c r="T57" s="92"/>
      <c r="U57" s="92"/>
      <c r="V57" s="92"/>
    </row>
    <row r="58" spans="1:22">
      <c r="A58" s="23">
        <f t="shared" si="14"/>
        <v>58</v>
      </c>
      <c r="B58" s="163" t="s">
        <v>191</v>
      </c>
      <c r="C58" s="228"/>
      <c r="D58" s="216">
        <f t="shared" ref="D58:K58" si="27">IF(D44&gt;0,ROUND(IF(D$9&gt;=0.5,540*D$7,270*D$7)/12*D3,2),0)</f>
        <v>58.98</v>
      </c>
      <c r="E58" s="110">
        <f t="shared" si="27"/>
        <v>58.98</v>
      </c>
      <c r="F58" s="110">
        <f t="shared" si="27"/>
        <v>58.98</v>
      </c>
      <c r="G58" s="110">
        <f t="shared" si="27"/>
        <v>58.98</v>
      </c>
      <c r="H58" s="110">
        <f t="shared" si="27"/>
        <v>58.98</v>
      </c>
      <c r="I58" s="110">
        <f t="shared" si="27"/>
        <v>58.98</v>
      </c>
      <c r="J58" s="110">
        <f t="shared" si="27"/>
        <v>58.98</v>
      </c>
      <c r="K58" s="110">
        <f t="shared" si="27"/>
        <v>58.98</v>
      </c>
      <c r="L58" s="110">
        <f>IF(L44&gt;0,ROUND(IF(L$9&gt;=0.5,708*L$7,354*L$7)/12*L3,2),0)</f>
        <v>59.77</v>
      </c>
      <c r="M58" s="110">
        <f>IF(M44&gt;0,ROUND(IF(M$9&gt;=0.5,708*M$7,354*M$7)/12*M3,2),0)</f>
        <v>59.77</v>
      </c>
      <c r="N58" s="110">
        <f>IF(N44&gt;0,ROUND(IF(N$9&gt;=0.5,708*N$7,354*N$7)/12*N3,2),0)</f>
        <v>59.77</v>
      </c>
      <c r="O58" s="110">
        <f>IF(O44&gt;0,ROUND(IF(O$9&gt;=0.5,708*O$7,354*O$7)/12*O3,2),0)</f>
        <v>59.77</v>
      </c>
      <c r="P58" s="111">
        <f t="shared" si="12"/>
        <v>710.92</v>
      </c>
      <c r="Q58" s="92"/>
      <c r="R58" s="92"/>
      <c r="S58" s="92"/>
      <c r="T58" s="92"/>
      <c r="U58" s="92"/>
      <c r="V58" s="92"/>
    </row>
    <row r="59" spans="1:22">
      <c r="A59" s="23">
        <f t="shared" si="14"/>
        <v>59</v>
      </c>
      <c r="B59" s="163" t="s">
        <v>171</v>
      </c>
      <c r="C59" s="228"/>
      <c r="D59" s="216">
        <f t="shared" ref="D59:O59" si="28">D20*D3</f>
        <v>0</v>
      </c>
      <c r="E59" s="110">
        <f t="shared" si="28"/>
        <v>0</v>
      </c>
      <c r="F59" s="110">
        <f t="shared" si="28"/>
        <v>0</v>
      </c>
      <c r="G59" s="110">
        <f t="shared" si="28"/>
        <v>0</v>
      </c>
      <c r="H59" s="110">
        <f t="shared" si="28"/>
        <v>0</v>
      </c>
      <c r="I59" s="110">
        <f t="shared" si="28"/>
        <v>0</v>
      </c>
      <c r="J59" s="110">
        <f t="shared" si="28"/>
        <v>0</v>
      </c>
      <c r="K59" s="110">
        <f t="shared" si="28"/>
        <v>0</v>
      </c>
      <c r="L59" s="110">
        <f t="shared" si="28"/>
        <v>0</v>
      </c>
      <c r="M59" s="110">
        <f t="shared" si="28"/>
        <v>0</v>
      </c>
      <c r="N59" s="110">
        <f t="shared" si="28"/>
        <v>0</v>
      </c>
      <c r="O59" s="110">
        <f t="shared" si="28"/>
        <v>0</v>
      </c>
      <c r="P59" s="111">
        <f t="shared" si="12"/>
        <v>0</v>
      </c>
      <c r="Q59" s="92"/>
      <c r="R59" s="92"/>
      <c r="S59" s="92"/>
      <c r="T59" s="92"/>
      <c r="U59" s="92"/>
      <c r="V59" s="92"/>
    </row>
    <row r="60" spans="1:22">
      <c r="A60" s="23">
        <f t="shared" si="14"/>
        <v>60</v>
      </c>
      <c r="B60" s="163" t="s">
        <v>172</v>
      </c>
      <c r="C60" s="228"/>
      <c r="D60" s="216">
        <f>IF(D9&gt;0,108.35*D3,0)</f>
        <v>108.35</v>
      </c>
      <c r="E60" s="216">
        <f t="shared" ref="E60:O60" si="29">IF(E9&gt;0,108.35*E3,0)</f>
        <v>108.35</v>
      </c>
      <c r="F60" s="216">
        <f t="shared" si="29"/>
        <v>108.35</v>
      </c>
      <c r="G60" s="216">
        <f t="shared" si="29"/>
        <v>108.35</v>
      </c>
      <c r="H60" s="216">
        <f t="shared" si="29"/>
        <v>108.35</v>
      </c>
      <c r="I60" s="216">
        <f t="shared" si="29"/>
        <v>108.35</v>
      </c>
      <c r="J60" s="216">
        <f t="shared" si="29"/>
        <v>108.35</v>
      </c>
      <c r="K60" s="216">
        <f t="shared" si="29"/>
        <v>108.35</v>
      </c>
      <c r="L60" s="216">
        <f t="shared" si="29"/>
        <v>108.35</v>
      </c>
      <c r="M60" s="216">
        <f t="shared" si="29"/>
        <v>108.35</v>
      </c>
      <c r="N60" s="216">
        <f t="shared" si="29"/>
        <v>108.35</v>
      </c>
      <c r="O60" s="216">
        <f t="shared" si="29"/>
        <v>108.35</v>
      </c>
      <c r="P60" s="111">
        <f t="shared" si="12"/>
        <v>1300.1999999999998</v>
      </c>
      <c r="Q60" s="92"/>
      <c r="R60" s="92"/>
      <c r="S60" s="92"/>
      <c r="T60" s="92"/>
      <c r="U60" s="92"/>
      <c r="V60" s="92"/>
    </row>
    <row r="61" spans="1:22">
      <c r="A61" s="23">
        <f t="shared" si="14"/>
        <v>61</v>
      </c>
      <c r="B61" s="163" t="s">
        <v>266</v>
      </c>
      <c r="C61" s="228"/>
      <c r="D61" s="216">
        <f>-(MAX(0,MIN(D21,D22))+D25)*4.62%*SUM(D44:D60)</f>
        <v>0</v>
      </c>
      <c r="E61" s="216">
        <f t="shared" ref="E61:O61" si="30">-(MAX(0,MIN(E21,E22))+E25)*4.62%*SUM(E44:E60)</f>
        <v>0</v>
      </c>
      <c r="F61" s="216">
        <f t="shared" si="30"/>
        <v>0</v>
      </c>
      <c r="G61" s="216">
        <f t="shared" si="30"/>
        <v>0</v>
      </c>
      <c r="H61" s="216">
        <f t="shared" si="30"/>
        <v>0</v>
      </c>
      <c r="I61" s="216">
        <f t="shared" si="30"/>
        <v>0</v>
      </c>
      <c r="J61" s="216">
        <f t="shared" si="30"/>
        <v>0</v>
      </c>
      <c r="K61" s="216">
        <f t="shared" si="30"/>
        <v>0</v>
      </c>
      <c r="L61" s="216">
        <f t="shared" si="30"/>
        <v>0</v>
      </c>
      <c r="M61" s="216">
        <f t="shared" si="30"/>
        <v>-8.1326506799999989E-9</v>
      </c>
      <c r="N61" s="216">
        <f t="shared" si="30"/>
        <v>0</v>
      </c>
      <c r="O61" s="216">
        <f t="shared" si="30"/>
        <v>0</v>
      </c>
      <c r="P61" s="111">
        <f t="shared" si="12"/>
        <v>-8.1326506799999989E-9</v>
      </c>
      <c r="Q61" s="92"/>
      <c r="R61" s="92"/>
      <c r="S61" s="92"/>
      <c r="T61" s="92"/>
      <c r="U61" s="92"/>
      <c r="V61" s="92"/>
    </row>
    <row r="62" spans="1:22">
      <c r="A62" s="23">
        <f t="shared" si="14"/>
        <v>62</v>
      </c>
      <c r="B62" s="163" t="s">
        <v>205</v>
      </c>
      <c r="C62" s="228"/>
      <c r="D62" s="216">
        <f>(D21-D22)*4.62%*(D23-D9)*(D3=1)*IF(D9&gt;0,(D44+D45+D52+D53+D54+D55+D56+D57)/D9,0)*(D23&gt;0)</f>
        <v>51.723589295433854</v>
      </c>
      <c r="E62" s="110">
        <f>(E21-E22)*4.62%*(E23-E9)*(E3=1)*IF(E9&gt;0,(E44+E45+E52+E53+E54+E55+E56+E57)/E9,0)*(E23&gt;0)</f>
        <v>0</v>
      </c>
      <c r="F62" s="110">
        <f>(F21-F22)*4.62%*(F23-F9)*(F3=1)*IF(F9&gt;0,(F44+F45+F52+F53+F54+F55+F56+F57)/F9,0)*(F23&gt;0)</f>
        <v>0</v>
      </c>
      <c r="G62" s="110">
        <f>(G21-G22)*4.62%*(G23-G9)*(G3=1)*IF(G9&gt;0,(G44+G45+G52+G53+G54+G55+G56+G57)/G9,0)*(G23&gt;0)</f>
        <v>0</v>
      </c>
      <c r="H62" s="110">
        <f>(H21-H22)*4.62%*(H23-H9)*(H3=1)*IF(H9&gt;0,(H44+H45+H52+H53+H54+H55+H56+H57)/H9,0)*(H23&gt;0)</f>
        <v>0</v>
      </c>
      <c r="I62" s="110">
        <f t="shared" ref="I62:O62" si="31">(I21-I22)*4.62%*(I24-I9)*(I3=1)*IF(I9&gt;0,(I44+I45+I52+I53+I54+I55+I56+I57)/I9,0)*(I24&gt;0)</f>
        <v>0</v>
      </c>
      <c r="J62" s="110">
        <f t="shared" si="31"/>
        <v>0</v>
      </c>
      <c r="K62" s="110">
        <f t="shared" si="31"/>
        <v>0</v>
      </c>
      <c r="L62" s="110">
        <f t="shared" si="31"/>
        <v>0</v>
      </c>
      <c r="M62" s="110">
        <f t="shared" si="31"/>
        <v>0</v>
      </c>
      <c r="N62" s="110">
        <f t="shared" si="31"/>
        <v>0</v>
      </c>
      <c r="O62" s="110">
        <f t="shared" si="31"/>
        <v>0</v>
      </c>
      <c r="P62" s="111">
        <f t="shared" si="12"/>
        <v>51.723589295433854</v>
      </c>
      <c r="Q62" s="92"/>
      <c r="R62" s="92"/>
      <c r="S62" s="92"/>
      <c r="T62" s="92"/>
      <c r="U62" s="92"/>
      <c r="V62" s="92"/>
    </row>
    <row r="63" spans="1:22">
      <c r="A63" s="23">
        <f t="shared" si="14"/>
        <v>63</v>
      </c>
      <c r="B63" s="163" t="s">
        <v>192</v>
      </c>
      <c r="C63" s="228"/>
      <c r="D63" s="216">
        <f t="shared" ref="D63:O63" si="32">SUM(D32:D42)+MAX(D31-8000,0)</f>
        <v>0</v>
      </c>
      <c r="E63" s="110">
        <f t="shared" si="32"/>
        <v>0</v>
      </c>
      <c r="F63" s="110">
        <f t="shared" si="32"/>
        <v>0</v>
      </c>
      <c r="G63" s="110">
        <f t="shared" si="32"/>
        <v>0</v>
      </c>
      <c r="H63" s="110">
        <f t="shared" si="32"/>
        <v>0</v>
      </c>
      <c r="I63" s="110">
        <f t="shared" si="32"/>
        <v>0</v>
      </c>
      <c r="J63" s="110">
        <f t="shared" si="32"/>
        <v>0</v>
      </c>
      <c r="K63" s="110">
        <f t="shared" si="32"/>
        <v>0</v>
      </c>
      <c r="L63" s="110">
        <f t="shared" si="32"/>
        <v>0</v>
      </c>
      <c r="M63" s="110">
        <f t="shared" si="32"/>
        <v>3133.2</v>
      </c>
      <c r="N63" s="110">
        <f t="shared" si="32"/>
        <v>0</v>
      </c>
      <c r="O63" s="110">
        <f t="shared" si="32"/>
        <v>0</v>
      </c>
      <c r="P63" s="111">
        <f t="shared" si="12"/>
        <v>3133.2</v>
      </c>
      <c r="Q63" s="92"/>
      <c r="R63" s="92"/>
      <c r="S63" s="92"/>
      <c r="T63" s="92"/>
      <c r="U63" s="92"/>
      <c r="V63" s="92"/>
    </row>
    <row r="64" spans="1:22">
      <c r="A64" s="23">
        <f t="shared" si="14"/>
        <v>64</v>
      </c>
      <c r="B64" s="189" t="s">
        <v>22</v>
      </c>
      <c r="C64" s="228"/>
      <c r="D64" s="217">
        <f>SUM(D28:D30)+IF(D31&gt;0,MIN(D31,8000),0)</f>
        <v>0</v>
      </c>
      <c r="E64" s="217">
        <f t="shared" ref="E64:O64" si="33">SUM(E28:E30)+IF(E31&gt;0,MIN(E31,8000),0)</f>
        <v>0</v>
      </c>
      <c r="F64" s="217">
        <f t="shared" si="33"/>
        <v>0</v>
      </c>
      <c r="G64" s="217">
        <f t="shared" si="33"/>
        <v>0</v>
      </c>
      <c r="H64" s="217">
        <f t="shared" si="33"/>
        <v>0</v>
      </c>
      <c r="I64" s="217">
        <f t="shared" si="33"/>
        <v>0</v>
      </c>
      <c r="J64" s="217">
        <f t="shared" si="33"/>
        <v>0</v>
      </c>
      <c r="K64" s="217">
        <f t="shared" si="33"/>
        <v>0</v>
      </c>
      <c r="L64" s="217">
        <f t="shared" si="33"/>
        <v>0</v>
      </c>
      <c r="M64" s="217">
        <f t="shared" si="33"/>
        <v>0</v>
      </c>
      <c r="N64" s="217">
        <f t="shared" si="33"/>
        <v>0</v>
      </c>
      <c r="O64" s="217">
        <f t="shared" si="33"/>
        <v>0</v>
      </c>
      <c r="P64" s="112">
        <f t="shared" si="12"/>
        <v>0</v>
      </c>
      <c r="Q64" s="92"/>
      <c r="R64" s="92"/>
      <c r="S64" s="92"/>
      <c r="T64" s="92"/>
      <c r="U64" s="92"/>
      <c r="V64" s="92"/>
    </row>
    <row r="65" spans="1:22">
      <c r="A65" s="23">
        <f t="shared" si="14"/>
        <v>65</v>
      </c>
      <c r="B65" s="77" t="s">
        <v>114</v>
      </c>
      <c r="C65" s="229"/>
      <c r="D65" s="218">
        <f>SUM(D44:D64)</f>
        <v>17436.853589295431</v>
      </c>
      <c r="E65" s="218">
        <f t="shared" ref="E65:O65" si="34">SUM(E44:E64)</f>
        <v>17385.129999999997</v>
      </c>
      <c r="F65" s="218">
        <f t="shared" si="34"/>
        <v>17385.129999999997</v>
      </c>
      <c r="G65" s="218">
        <f t="shared" si="34"/>
        <v>17385.129999999997</v>
      </c>
      <c r="H65" s="218">
        <f t="shared" si="34"/>
        <v>17385.129999999997</v>
      </c>
      <c r="I65" s="218">
        <f t="shared" si="34"/>
        <v>17385.129999999997</v>
      </c>
      <c r="J65" s="218">
        <f t="shared" si="34"/>
        <v>17385.129999999997</v>
      </c>
      <c r="K65" s="218">
        <f t="shared" si="34"/>
        <v>17385.129999999997</v>
      </c>
      <c r="L65" s="218">
        <f t="shared" si="34"/>
        <v>17603.14</v>
      </c>
      <c r="M65" s="218">
        <f t="shared" si="34"/>
        <v>20736.339999991869</v>
      </c>
      <c r="N65" s="218">
        <f t="shared" si="34"/>
        <v>17603.14</v>
      </c>
      <c r="O65" s="218">
        <f t="shared" si="34"/>
        <v>17603.14</v>
      </c>
      <c r="P65" s="84">
        <f t="shared" si="12"/>
        <v>212678.52358928736</v>
      </c>
      <c r="Q65" s="92"/>
      <c r="R65" s="92"/>
      <c r="S65" s="92"/>
      <c r="T65" s="92"/>
      <c r="U65" s="92"/>
      <c r="V65" s="92"/>
    </row>
    <row r="66" spans="1:22">
      <c r="A66" s="23">
        <f t="shared" si="14"/>
        <v>66</v>
      </c>
      <c r="B66" s="162" t="s">
        <v>111</v>
      </c>
      <c r="C66" s="228"/>
      <c r="D66" s="215">
        <f>ROUND(D44*17.3%/3,2)*(D6="L")</f>
        <v>847.32</v>
      </c>
      <c r="E66" s="108">
        <f t="shared" ref="E66:O66" si="35">ROUND(E44*17.3%/3,2)*(E6="L")</f>
        <v>847.32</v>
      </c>
      <c r="F66" s="108">
        <f t="shared" si="35"/>
        <v>847.32</v>
      </c>
      <c r="G66" s="108">
        <f t="shared" si="35"/>
        <v>847.32</v>
      </c>
      <c r="H66" s="108">
        <f t="shared" si="35"/>
        <v>847.32</v>
      </c>
      <c r="I66" s="108">
        <f t="shared" si="35"/>
        <v>847.32</v>
      </c>
      <c r="J66" s="108">
        <f t="shared" si="35"/>
        <v>847.32</v>
      </c>
      <c r="K66" s="108">
        <f t="shared" si="35"/>
        <v>847.32</v>
      </c>
      <c r="L66" s="108">
        <f t="shared" si="35"/>
        <v>858.37</v>
      </c>
      <c r="M66" s="108">
        <f t="shared" si="35"/>
        <v>858.37</v>
      </c>
      <c r="N66" s="108">
        <f t="shared" si="35"/>
        <v>858.37</v>
      </c>
      <c r="O66" s="108">
        <f t="shared" si="35"/>
        <v>858.37</v>
      </c>
      <c r="P66" s="109">
        <f t="shared" si="12"/>
        <v>10212.040000000001</v>
      </c>
      <c r="Q66" s="92"/>
      <c r="R66" s="92"/>
      <c r="S66" s="92"/>
      <c r="T66" s="92"/>
      <c r="U66" s="92"/>
      <c r="V66" s="92"/>
    </row>
    <row r="67" spans="1:22">
      <c r="A67" s="23">
        <f t="shared" si="14"/>
        <v>67</v>
      </c>
      <c r="B67" s="163" t="s">
        <v>196</v>
      </c>
      <c r="C67" s="228"/>
      <c r="D67" s="216">
        <f>ROUND(D46*17.3%/3,2)*(D6="L")</f>
        <v>64.62</v>
      </c>
      <c r="E67" s="110">
        <f t="shared" ref="E67:O67" si="36">ROUND(E46*17.3%/3,2)*(E6="L")</f>
        <v>64.62</v>
      </c>
      <c r="F67" s="110">
        <f t="shared" si="36"/>
        <v>64.62</v>
      </c>
      <c r="G67" s="110">
        <f t="shared" si="36"/>
        <v>64.62</v>
      </c>
      <c r="H67" s="110">
        <f t="shared" si="36"/>
        <v>64.62</v>
      </c>
      <c r="I67" s="110">
        <f t="shared" si="36"/>
        <v>64.62</v>
      </c>
      <c r="J67" s="110">
        <f t="shared" si="36"/>
        <v>64.62</v>
      </c>
      <c r="K67" s="110">
        <f t="shared" si="36"/>
        <v>64.62</v>
      </c>
      <c r="L67" s="110">
        <f t="shared" si="36"/>
        <v>65.45</v>
      </c>
      <c r="M67" s="110">
        <f t="shared" si="36"/>
        <v>65.45</v>
      </c>
      <c r="N67" s="110">
        <f t="shared" si="36"/>
        <v>65.45</v>
      </c>
      <c r="O67" s="110">
        <f t="shared" si="36"/>
        <v>65.45</v>
      </c>
      <c r="P67" s="111">
        <f t="shared" si="12"/>
        <v>778.76000000000022</v>
      </c>
      <c r="Q67" s="92"/>
      <c r="R67" s="92"/>
      <c r="S67" s="92"/>
      <c r="T67" s="92"/>
      <c r="U67" s="92"/>
      <c r="V67" s="92"/>
    </row>
    <row r="68" spans="1:22">
      <c r="A68" s="23">
        <f t="shared" si="14"/>
        <v>68</v>
      </c>
      <c r="B68" s="163" t="s">
        <v>112</v>
      </c>
      <c r="C68" s="228"/>
      <c r="D68" s="216">
        <f>ROUND(D47*17.3%/3,2)</f>
        <v>0</v>
      </c>
      <c r="E68" s="110">
        <f t="shared" ref="E68:O68" si="37">ROUND(E47*17.3%/3,2)</f>
        <v>0</v>
      </c>
      <c r="F68" s="110">
        <f t="shared" si="37"/>
        <v>0</v>
      </c>
      <c r="G68" s="110">
        <f t="shared" si="37"/>
        <v>0</v>
      </c>
      <c r="H68" s="110">
        <f t="shared" si="37"/>
        <v>0</v>
      </c>
      <c r="I68" s="110">
        <f t="shared" si="37"/>
        <v>0</v>
      </c>
      <c r="J68" s="110">
        <f t="shared" si="37"/>
        <v>0</v>
      </c>
      <c r="K68" s="110">
        <f t="shared" si="37"/>
        <v>0</v>
      </c>
      <c r="L68" s="110">
        <f t="shared" si="37"/>
        <v>0</v>
      </c>
      <c r="M68" s="110">
        <f t="shared" si="37"/>
        <v>0</v>
      </c>
      <c r="N68" s="110">
        <f t="shared" si="37"/>
        <v>0</v>
      </c>
      <c r="O68" s="110">
        <f t="shared" si="37"/>
        <v>0</v>
      </c>
      <c r="P68" s="111">
        <f t="shared" si="12"/>
        <v>0</v>
      </c>
      <c r="Q68" s="92"/>
      <c r="R68" s="92"/>
      <c r="S68" s="92"/>
      <c r="T68" s="92"/>
      <c r="U68" s="92"/>
      <c r="V68" s="92"/>
    </row>
    <row r="69" spans="1:22">
      <c r="A69" s="23">
        <f t="shared" si="14"/>
        <v>69</v>
      </c>
      <c r="B69" s="163" t="s">
        <v>203</v>
      </c>
      <c r="C69" s="228"/>
      <c r="D69" s="216">
        <f>ROUND(D48*17.3%/3,2)*OR((D6="L"),(LEFT(D19)="J"))</f>
        <v>0</v>
      </c>
      <c r="E69" s="110">
        <f t="shared" ref="E69:O69" si="38">ROUND(E48*17.3%/3,2)*OR((E6="L"),(LEFT(E19)="J"))</f>
        <v>0</v>
      </c>
      <c r="F69" s="110">
        <f t="shared" si="38"/>
        <v>0</v>
      </c>
      <c r="G69" s="110">
        <f t="shared" si="38"/>
        <v>0</v>
      </c>
      <c r="H69" s="110">
        <f t="shared" si="38"/>
        <v>0</v>
      </c>
      <c r="I69" s="110">
        <f t="shared" si="38"/>
        <v>0</v>
      </c>
      <c r="J69" s="110">
        <f t="shared" si="38"/>
        <v>0</v>
      </c>
      <c r="K69" s="110">
        <f t="shared" si="38"/>
        <v>0</v>
      </c>
      <c r="L69" s="110">
        <f t="shared" si="38"/>
        <v>0</v>
      </c>
      <c r="M69" s="110">
        <f t="shared" si="38"/>
        <v>0</v>
      </c>
      <c r="N69" s="110">
        <f t="shared" si="38"/>
        <v>0</v>
      </c>
      <c r="O69" s="110">
        <f t="shared" si="38"/>
        <v>0</v>
      </c>
      <c r="P69" s="111">
        <f t="shared" si="12"/>
        <v>0</v>
      </c>
      <c r="Q69" s="92"/>
      <c r="R69" s="92"/>
      <c r="S69" s="92"/>
      <c r="T69" s="92"/>
      <c r="U69" s="92"/>
      <c r="V69" s="92"/>
    </row>
    <row r="70" spans="1:22">
      <c r="A70" s="23">
        <f t="shared" si="14"/>
        <v>70</v>
      </c>
      <c r="B70" s="163" t="s">
        <v>204</v>
      </c>
      <c r="C70" s="228"/>
      <c r="D70" s="216">
        <f>ROUND(D49*17.3%/3,2)*OR((D6="L"),(LEFT(D19)="J"))</f>
        <v>0</v>
      </c>
      <c r="E70" s="110">
        <f t="shared" ref="E70:O70" si="39">ROUND(E49*17.3%/3,2)*OR((E6="L"),(LEFT(E19)="J"))</f>
        <v>0</v>
      </c>
      <c r="F70" s="110">
        <f t="shared" si="39"/>
        <v>0</v>
      </c>
      <c r="G70" s="110">
        <f t="shared" si="39"/>
        <v>0</v>
      </c>
      <c r="H70" s="110">
        <f t="shared" si="39"/>
        <v>0</v>
      </c>
      <c r="I70" s="110">
        <f t="shared" si="39"/>
        <v>0</v>
      </c>
      <c r="J70" s="110">
        <f t="shared" si="39"/>
        <v>0</v>
      </c>
      <c r="K70" s="110">
        <f t="shared" si="39"/>
        <v>0</v>
      </c>
      <c r="L70" s="110">
        <f t="shared" si="39"/>
        <v>0</v>
      </c>
      <c r="M70" s="110">
        <f t="shared" si="39"/>
        <v>0</v>
      </c>
      <c r="N70" s="110">
        <f t="shared" si="39"/>
        <v>0</v>
      </c>
      <c r="O70" s="110">
        <f t="shared" si="39"/>
        <v>0</v>
      </c>
      <c r="P70" s="111">
        <f t="shared" si="12"/>
        <v>0</v>
      </c>
      <c r="Q70" s="92"/>
      <c r="R70" s="92"/>
      <c r="S70" s="92"/>
      <c r="T70" s="92"/>
      <c r="U70" s="92"/>
      <c r="V70" s="92"/>
    </row>
    <row r="71" spans="1:22">
      <c r="A71" s="23">
        <f t="shared" si="14"/>
        <v>71</v>
      </c>
      <c r="B71" s="163" t="s">
        <v>64</v>
      </c>
      <c r="C71" s="228"/>
      <c r="D71" s="216">
        <f>ROUND(D50*17.3%/3,2)*OR((D6="L"),(LEFT(D19)="J"))</f>
        <v>0</v>
      </c>
      <c r="E71" s="110">
        <f t="shared" ref="E71:O71" si="40">ROUND(E50*17.3%/3,2)*OR((E6="L"),(LEFT(E19)="J"))</f>
        <v>0</v>
      </c>
      <c r="F71" s="110">
        <f t="shared" si="40"/>
        <v>0</v>
      </c>
      <c r="G71" s="110">
        <f t="shared" si="40"/>
        <v>0</v>
      </c>
      <c r="H71" s="110">
        <f t="shared" si="40"/>
        <v>0</v>
      </c>
      <c r="I71" s="110">
        <f t="shared" si="40"/>
        <v>0</v>
      </c>
      <c r="J71" s="110">
        <f t="shared" si="40"/>
        <v>0</v>
      </c>
      <c r="K71" s="110">
        <f t="shared" si="40"/>
        <v>0</v>
      </c>
      <c r="L71" s="110">
        <f t="shared" si="40"/>
        <v>0</v>
      </c>
      <c r="M71" s="110">
        <f t="shared" si="40"/>
        <v>0</v>
      </c>
      <c r="N71" s="110">
        <f t="shared" si="40"/>
        <v>0</v>
      </c>
      <c r="O71" s="110">
        <f t="shared" si="40"/>
        <v>0</v>
      </c>
      <c r="P71" s="111">
        <f t="shared" si="12"/>
        <v>0</v>
      </c>
      <c r="Q71" s="92"/>
      <c r="R71" s="92"/>
      <c r="S71" s="92"/>
      <c r="T71" s="92"/>
      <c r="U71" s="92"/>
      <c r="V71" s="92"/>
    </row>
    <row r="72" spans="1:22">
      <c r="A72" s="23">
        <f t="shared" si="14"/>
        <v>72</v>
      </c>
      <c r="B72" s="163" t="s">
        <v>65</v>
      </c>
      <c r="C72" s="228"/>
      <c r="D72" s="216">
        <f>ROUND(D51*17.3%/3,2)*OR((D6="L"),(LEFT(D19)="J"))</f>
        <v>0</v>
      </c>
      <c r="E72" s="110">
        <f t="shared" ref="E72:O72" si="41">ROUND(E51*17.3%/3,2)*OR((E6="L"),(LEFT(E19)="J"))</f>
        <v>0</v>
      </c>
      <c r="F72" s="110">
        <f t="shared" si="41"/>
        <v>0</v>
      </c>
      <c r="G72" s="110">
        <f t="shared" si="41"/>
        <v>0</v>
      </c>
      <c r="H72" s="110">
        <f t="shared" si="41"/>
        <v>0</v>
      </c>
      <c r="I72" s="110">
        <f t="shared" si="41"/>
        <v>0</v>
      </c>
      <c r="J72" s="110">
        <f t="shared" si="41"/>
        <v>0</v>
      </c>
      <c r="K72" s="110">
        <f t="shared" si="41"/>
        <v>0</v>
      </c>
      <c r="L72" s="110">
        <f t="shared" si="41"/>
        <v>0</v>
      </c>
      <c r="M72" s="110">
        <f t="shared" si="41"/>
        <v>0</v>
      </c>
      <c r="N72" s="110">
        <f t="shared" si="41"/>
        <v>0</v>
      </c>
      <c r="O72" s="110">
        <f t="shared" si="41"/>
        <v>0</v>
      </c>
      <c r="P72" s="111">
        <f t="shared" si="12"/>
        <v>0</v>
      </c>
      <c r="Q72" s="92"/>
      <c r="R72" s="92"/>
      <c r="S72" s="92"/>
      <c r="T72" s="92"/>
      <c r="U72" s="92"/>
      <c r="V72" s="92"/>
    </row>
    <row r="73" spans="1:22">
      <c r="A73" s="23">
        <f t="shared" si="14"/>
        <v>73</v>
      </c>
      <c r="B73" s="163" t="s">
        <v>66</v>
      </c>
      <c r="C73" s="228"/>
      <c r="D73" s="216">
        <f>ROUND(D52*17.3%/3,2)*OR((D6="L"),(LEFT(D19)="J"))</f>
        <v>49.99</v>
      </c>
      <c r="E73" s="110">
        <f t="shared" ref="E73:O73" si="42">ROUND(E52*17.3%/3,2)*OR((E6="L"),(LEFT(E19)="J"))</f>
        <v>49.99</v>
      </c>
      <c r="F73" s="110">
        <f t="shared" si="42"/>
        <v>49.99</v>
      </c>
      <c r="G73" s="110">
        <f t="shared" si="42"/>
        <v>49.99</v>
      </c>
      <c r="H73" s="110">
        <f t="shared" si="42"/>
        <v>49.99</v>
      </c>
      <c r="I73" s="110">
        <f t="shared" si="42"/>
        <v>49.99</v>
      </c>
      <c r="J73" s="110">
        <f t="shared" si="42"/>
        <v>49.99</v>
      </c>
      <c r="K73" s="110">
        <f t="shared" si="42"/>
        <v>49.99</v>
      </c>
      <c r="L73" s="110">
        <f t="shared" si="42"/>
        <v>50.55</v>
      </c>
      <c r="M73" s="110">
        <f t="shared" si="42"/>
        <v>50.55</v>
      </c>
      <c r="N73" s="110">
        <f t="shared" si="42"/>
        <v>50.55</v>
      </c>
      <c r="O73" s="110">
        <f t="shared" si="42"/>
        <v>50.55</v>
      </c>
      <c r="P73" s="111">
        <f t="shared" si="12"/>
        <v>602.12</v>
      </c>
      <c r="Q73" s="92"/>
      <c r="R73" s="92"/>
      <c r="S73" s="92"/>
      <c r="T73" s="92"/>
      <c r="U73" s="92"/>
      <c r="V73" s="92"/>
    </row>
    <row r="74" spans="1:22">
      <c r="A74" s="23">
        <f t="shared" si="14"/>
        <v>74</v>
      </c>
      <c r="B74" s="163" t="s">
        <v>67</v>
      </c>
      <c r="C74" s="228"/>
      <c r="D74" s="216">
        <f t="shared" ref="D74:O75" si="43">ROUND(D53*17.3%/3,2)*OR((D6="L"),(LEFT(D19)="J"))</f>
        <v>0</v>
      </c>
      <c r="E74" s="110">
        <f t="shared" si="43"/>
        <v>0</v>
      </c>
      <c r="F74" s="110">
        <f t="shared" si="43"/>
        <v>0</v>
      </c>
      <c r="G74" s="110">
        <f t="shared" si="43"/>
        <v>0</v>
      </c>
      <c r="H74" s="110">
        <f t="shared" si="43"/>
        <v>0</v>
      </c>
      <c r="I74" s="110">
        <f t="shared" si="43"/>
        <v>0</v>
      </c>
      <c r="J74" s="110">
        <f t="shared" si="43"/>
        <v>0</v>
      </c>
      <c r="K74" s="110">
        <f t="shared" si="43"/>
        <v>0</v>
      </c>
      <c r="L74" s="110">
        <f t="shared" si="43"/>
        <v>0</v>
      </c>
      <c r="M74" s="110">
        <f t="shared" si="43"/>
        <v>0</v>
      </c>
      <c r="N74" s="110">
        <f t="shared" si="43"/>
        <v>0</v>
      </c>
      <c r="O74" s="110">
        <f t="shared" si="43"/>
        <v>0</v>
      </c>
      <c r="P74" s="111">
        <f t="shared" si="12"/>
        <v>0</v>
      </c>
      <c r="Q74" s="92"/>
      <c r="R74" s="92"/>
      <c r="S74" s="92"/>
      <c r="T74" s="92"/>
      <c r="U74" s="92"/>
      <c r="V74" s="92"/>
    </row>
    <row r="75" spans="1:22">
      <c r="A75" s="23">
        <f t="shared" si="14"/>
        <v>75</v>
      </c>
      <c r="B75" s="163" t="s">
        <v>20</v>
      </c>
      <c r="C75" s="228"/>
      <c r="D75" s="216">
        <f t="shared" si="43"/>
        <v>0</v>
      </c>
      <c r="E75" s="110">
        <f t="shared" si="43"/>
        <v>0</v>
      </c>
      <c r="F75" s="110">
        <f t="shared" si="43"/>
        <v>0</v>
      </c>
      <c r="G75" s="110">
        <f t="shared" si="43"/>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1">
        <f>SUM(D75:O75)</f>
        <v>0</v>
      </c>
      <c r="Q75" s="92"/>
      <c r="R75" s="92"/>
      <c r="S75" s="92"/>
      <c r="T75" s="92"/>
      <c r="U75" s="92"/>
      <c r="V75" s="92"/>
    </row>
    <row r="76" spans="1:22">
      <c r="A76" s="23">
        <f t="shared" si="14"/>
        <v>76</v>
      </c>
      <c r="B76" s="163" t="s">
        <v>68</v>
      </c>
      <c r="C76" s="228"/>
      <c r="D76" s="216">
        <f>ROUND(D55*17.3%/3,2)*(D6="L")</f>
        <v>0</v>
      </c>
      <c r="E76" s="110">
        <f t="shared" ref="E76:O76" si="44">ROUND(E55*17.3%/3,2)*(E6="L")</f>
        <v>0</v>
      </c>
      <c r="F76" s="110">
        <f t="shared" si="44"/>
        <v>0</v>
      </c>
      <c r="G76" s="110">
        <f t="shared" si="44"/>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1">
        <f t="shared" si="12"/>
        <v>0</v>
      </c>
      <c r="Q76" s="92"/>
      <c r="R76" s="92"/>
      <c r="S76" s="92"/>
      <c r="T76" s="92"/>
      <c r="U76" s="92"/>
      <c r="V76" s="92"/>
    </row>
    <row r="77" spans="1:22">
      <c r="A77" s="23">
        <f t="shared" si="14"/>
        <v>77</v>
      </c>
      <c r="B77" s="163" t="s">
        <v>69</v>
      </c>
      <c r="C77" s="228"/>
      <c r="D77" s="216">
        <f>ROUND(D57*17.3%/3,2)*(D6="L")</f>
        <v>0</v>
      </c>
      <c r="E77" s="110">
        <f t="shared" ref="E77:O77" si="45">ROUND(E57*17.3%/3,2)*(E6="L")</f>
        <v>0</v>
      </c>
      <c r="F77" s="110">
        <f t="shared" si="45"/>
        <v>0</v>
      </c>
      <c r="G77" s="110">
        <f t="shared" si="45"/>
        <v>0</v>
      </c>
      <c r="H77" s="110">
        <f t="shared" si="45"/>
        <v>0</v>
      </c>
      <c r="I77" s="110">
        <f t="shared" si="45"/>
        <v>0</v>
      </c>
      <c r="J77" s="110">
        <f t="shared" si="45"/>
        <v>0</v>
      </c>
      <c r="K77" s="110">
        <f t="shared" si="45"/>
        <v>0</v>
      </c>
      <c r="L77" s="110">
        <f t="shared" si="45"/>
        <v>0</v>
      </c>
      <c r="M77" s="110">
        <f t="shared" si="45"/>
        <v>0</v>
      </c>
      <c r="N77" s="110">
        <f t="shared" si="45"/>
        <v>0</v>
      </c>
      <c r="O77" s="110">
        <f t="shared" si="45"/>
        <v>0</v>
      </c>
      <c r="P77" s="111">
        <f t="shared" si="12"/>
        <v>0</v>
      </c>
      <c r="Q77" s="92"/>
      <c r="R77" s="92"/>
      <c r="S77" s="92"/>
      <c r="T77" s="92"/>
      <c r="U77" s="92"/>
      <c r="V77" s="92"/>
    </row>
    <row r="78" spans="1:22">
      <c r="A78" s="23">
        <f t="shared" si="14"/>
        <v>78</v>
      </c>
      <c r="B78" s="163" t="s">
        <v>119</v>
      </c>
      <c r="C78" s="228"/>
      <c r="D78" s="216">
        <f>((SUM(D44:D60)-230328.08*D7*D9/12)*0.7%/3*((D65-D61)&gt;230328.08/12*D7*D9)*(LEFT(D4)="B")+(SUM(D44:D60)-275936.7*D7*D9/12)*0.7%/3*(SUM(D44:D60)&gt;275936.7/12*D7*D9)*(LEFT(D4)="L"))*(LEFT(D6)&lt;&gt;"L")*(LEFT(D19)="J")</f>
        <v>0</v>
      </c>
      <c r="E78" s="110">
        <f t="shared" ref="E78:K78" si="46">((SUM(E44:E60)-230328.08*E7*E9/12)*0.7%/3*((E65-E61)&gt;230328.08/12*E7*E9)*(LEFT(E4)="B")+(SUM(E44:E60)-275936.7*E7*E9/12)*0.7%/3*(SUM(E44:E60)&gt;275936.7/12*E7*E9)*(LEFT(E4)="L"))*(LEFT(E6)&lt;&gt;"L")*(LEFT(E19)="J")</f>
        <v>0</v>
      </c>
      <c r="F78" s="110">
        <f t="shared" si="46"/>
        <v>0</v>
      </c>
      <c r="G78" s="110">
        <f t="shared" si="46"/>
        <v>0</v>
      </c>
      <c r="H78" s="110">
        <f t="shared" si="46"/>
        <v>0</v>
      </c>
      <c r="I78" s="110">
        <f t="shared" si="46"/>
        <v>0</v>
      </c>
      <c r="J78" s="110">
        <f t="shared" si="46"/>
        <v>0</v>
      </c>
      <c r="K78" s="110">
        <f t="shared" si="46"/>
        <v>0</v>
      </c>
      <c r="L78" s="110">
        <f>((SUM(L44:L60)-301881.8*L7*L9/12)*0.7%/3*((L65-L61)&gt;301881.8/12*L7*L9)*(LEFT(L4)="B")+(SUM(L44:L60)-361659.2*L7*L9/12)*0.7%/3*(SUM(L44:L60)&gt;361659.2/12*L7*L9)*(LEFT(L4)="L"))*(LEFT(L6)&lt;&gt;"L")*(LEFT(L19)="J")</f>
        <v>0</v>
      </c>
      <c r="M78" s="110">
        <f>((SUM(M44:M60)-301881.8*M7*M9/12)*0.7%/3*((M65-M61)&gt;301881.8/12*M7*M9)*(LEFT(M4)="B")+(SUM(M44:M60)-361659.2*M7*M9/12)*0.7%/3*(SUM(M44:M60)&gt;361659.2/12*M7*M9)*(LEFT(M4)="L"))*(LEFT(M6)&lt;&gt;"L")*(LEFT(M19)="J")</f>
        <v>0</v>
      </c>
      <c r="N78" s="110">
        <f>((SUM(N44:N60)-301881.8*N7*N9/12)*0.7%/3*((N65-N61)&gt;301881.8/12*N7*N9)*(LEFT(N4)="B")+(SUM(N44:N60)-361659.2*N7*N9/12)*0.7%/3*(SUM(N44:N60)&gt;361659.2/12*N7*N9)*(LEFT(N4)="L"))*(LEFT(N6)&lt;&gt;"L")*(LEFT(N19)="J")</f>
        <v>0</v>
      </c>
      <c r="O78" s="110">
        <f>((SUM(O44:O60)-301881.8*O7*O9/12)*0.7%/3*((O65-O61)&gt;301881.8/12*O7*O9)*(LEFT(O4)="B")+(SUM(O44:O60)-361659.2*O7*O9/12)*0.7%/3*(SUM(O44:O60)&gt;361659.2/12*O7*O9)*(LEFT(O4)="L"))*(LEFT(O6)&lt;&gt;"L")*(LEFT(O19)="J")</f>
        <v>0</v>
      </c>
      <c r="P78" s="111">
        <f t="shared" si="12"/>
        <v>0</v>
      </c>
      <c r="Q78" s="92"/>
      <c r="R78" s="92"/>
      <c r="S78" s="92"/>
      <c r="T78" s="92"/>
      <c r="U78" s="92"/>
      <c r="V78" s="92"/>
    </row>
    <row r="79" spans="1:22">
      <c r="A79" s="23">
        <f t="shared" si="14"/>
        <v>79</v>
      </c>
      <c r="B79" s="163" t="s">
        <v>263</v>
      </c>
      <c r="C79" s="228"/>
      <c r="D79" s="216">
        <f t="shared" ref="D79:O79" si="47">ROUND(-(D22+D25)*4.62%*SUM(D66:D78),2)</f>
        <v>0</v>
      </c>
      <c r="E79" s="216">
        <f t="shared" si="47"/>
        <v>0</v>
      </c>
      <c r="F79" s="216">
        <f t="shared" si="47"/>
        <v>0</v>
      </c>
      <c r="G79" s="216">
        <f t="shared" si="47"/>
        <v>0</v>
      </c>
      <c r="H79" s="216">
        <f t="shared" si="47"/>
        <v>0</v>
      </c>
      <c r="I79" s="216">
        <f t="shared" si="47"/>
        <v>0</v>
      </c>
      <c r="J79" s="216">
        <f t="shared" si="47"/>
        <v>0</v>
      </c>
      <c r="K79" s="216">
        <f t="shared" si="47"/>
        <v>0</v>
      </c>
      <c r="L79" s="216">
        <f t="shared" si="47"/>
        <v>0</v>
      </c>
      <c r="M79" s="216">
        <f t="shared" si="47"/>
        <v>0</v>
      </c>
      <c r="N79" s="216">
        <f t="shared" si="47"/>
        <v>0</v>
      </c>
      <c r="O79" s="216">
        <f t="shared" si="47"/>
        <v>0</v>
      </c>
      <c r="P79" s="111">
        <f t="shared" si="12"/>
        <v>0</v>
      </c>
      <c r="Q79" s="92"/>
      <c r="R79" s="92"/>
      <c r="S79" s="92"/>
      <c r="T79" s="92"/>
      <c r="U79" s="92"/>
      <c r="V79" s="92"/>
    </row>
    <row r="80" spans="1:22">
      <c r="A80" s="23">
        <f t="shared" si="14"/>
        <v>80</v>
      </c>
      <c r="B80" s="164" t="s">
        <v>43</v>
      </c>
      <c r="C80" s="228"/>
      <c r="D80" s="219">
        <f>IF(OR(D62=0,D9=0),0,(D66+D73+D74+D76+D77)/D9*4.62%*(D23-D9)*(D21-D22))</f>
        <v>2.8832222739643139</v>
      </c>
      <c r="E80" s="219">
        <f t="shared" ref="E80:L80" si="48">IF(OR(E62=0,E9=0),0,(E66+E73+E74+E76+E77)/E9*4.62%*(E23-E9)*(E21-E22))</f>
        <v>0</v>
      </c>
      <c r="F80" s="219">
        <f t="shared" si="48"/>
        <v>0</v>
      </c>
      <c r="G80" s="219">
        <f t="shared" si="48"/>
        <v>0</v>
      </c>
      <c r="H80" s="219">
        <f t="shared" si="48"/>
        <v>0</v>
      </c>
      <c r="I80" s="219">
        <f t="shared" si="48"/>
        <v>0</v>
      </c>
      <c r="J80" s="219">
        <f t="shared" si="48"/>
        <v>0</v>
      </c>
      <c r="K80" s="219">
        <f t="shared" si="48"/>
        <v>0</v>
      </c>
      <c r="L80" s="219">
        <f t="shared" si="48"/>
        <v>0</v>
      </c>
      <c r="M80" s="219">
        <f>IF(OR(M62=0,M9=0),0,(M66+M73+M74+M76+M77)/M9*4.62%*(M24-M9)*(M21-M22))</f>
        <v>0</v>
      </c>
      <c r="N80" s="219">
        <f>IF(OR(N62=0,N9=0),0,(N66+N73+N74+N76+N77)/N9*4.62%*(N24-N9)*(N21-N22))</f>
        <v>0</v>
      </c>
      <c r="O80" s="219">
        <f>IF(OR(O62=0,O9=0),0,(O66+O73+O74+O76+O77)/O9*4.62%*(O24-O9)*(O21-O22))</f>
        <v>0</v>
      </c>
      <c r="P80" s="131">
        <f t="shared" si="12"/>
        <v>2.8832222739643139</v>
      </c>
      <c r="Q80" s="92"/>
      <c r="R80" s="92"/>
      <c r="S80" s="92"/>
      <c r="T80" s="92"/>
      <c r="U80" s="92"/>
      <c r="V80" s="92"/>
    </row>
    <row r="81" spans="1:22" ht="13" thickBot="1">
      <c r="A81" s="158">
        <f t="shared" si="14"/>
        <v>81</v>
      </c>
      <c r="B81" s="159" t="s">
        <v>194</v>
      </c>
      <c r="C81" s="229"/>
      <c r="D81" s="220">
        <f>SUM(D66:D80)</f>
        <v>964.81322227396436</v>
      </c>
      <c r="E81" s="160">
        <f t="shared" ref="E81:O81" si="49">SUM(E66:E80)</f>
        <v>961.93000000000006</v>
      </c>
      <c r="F81" s="160">
        <f t="shared" si="49"/>
        <v>961.93000000000006</v>
      </c>
      <c r="G81" s="160">
        <f t="shared" si="49"/>
        <v>961.93000000000006</v>
      </c>
      <c r="H81" s="160">
        <f t="shared" si="49"/>
        <v>961.93000000000006</v>
      </c>
      <c r="I81" s="160">
        <f t="shared" si="49"/>
        <v>961.93000000000006</v>
      </c>
      <c r="J81" s="160">
        <f t="shared" si="49"/>
        <v>961.93000000000006</v>
      </c>
      <c r="K81" s="160">
        <f t="shared" si="49"/>
        <v>961.93000000000006</v>
      </c>
      <c r="L81" s="160">
        <f t="shared" si="49"/>
        <v>974.37</v>
      </c>
      <c r="M81" s="160">
        <f t="shared" si="49"/>
        <v>974.37</v>
      </c>
      <c r="N81" s="160">
        <f t="shared" si="49"/>
        <v>974.37</v>
      </c>
      <c r="O81" s="160">
        <f t="shared" si="49"/>
        <v>974.37</v>
      </c>
      <c r="P81" s="161">
        <f t="shared" si="12"/>
        <v>11595.803222273969</v>
      </c>
      <c r="Q81" s="92"/>
      <c r="R81" s="92"/>
      <c r="S81" s="92"/>
      <c r="T81" s="92"/>
      <c r="U81" s="92"/>
      <c r="V81" s="92"/>
    </row>
    <row r="82" spans="1:22" ht="13" thickTop="1">
      <c r="A82" s="23">
        <f>A81+1</f>
        <v>82</v>
      </c>
      <c r="B82" s="190" t="s">
        <v>105</v>
      </c>
      <c r="C82" s="230"/>
      <c r="D82" s="221">
        <f>D94/3</f>
        <v>60</v>
      </c>
      <c r="E82" s="113">
        <f t="shared" ref="E82:O82" si="50">E94/3</f>
        <v>60</v>
      </c>
      <c r="F82" s="113">
        <f t="shared" si="50"/>
        <v>60</v>
      </c>
      <c r="G82" s="113">
        <f t="shared" si="50"/>
        <v>60</v>
      </c>
      <c r="H82" s="113">
        <f t="shared" si="50"/>
        <v>60</v>
      </c>
      <c r="I82" s="113">
        <f t="shared" si="50"/>
        <v>60</v>
      </c>
      <c r="J82" s="113">
        <f t="shared" si="50"/>
        <v>60</v>
      </c>
      <c r="K82" s="113">
        <f t="shared" si="50"/>
        <v>60</v>
      </c>
      <c r="L82" s="113">
        <f t="shared" si="50"/>
        <v>60</v>
      </c>
      <c r="M82" s="113">
        <f t="shared" si="50"/>
        <v>60</v>
      </c>
      <c r="N82" s="113">
        <f t="shared" si="50"/>
        <v>60</v>
      </c>
      <c r="O82" s="113">
        <f t="shared" si="50"/>
        <v>60</v>
      </c>
      <c r="P82" s="109">
        <f>SUM(D82:O82)</f>
        <v>720</v>
      </c>
      <c r="Q82" s="92"/>
      <c r="R82" s="92"/>
      <c r="S82" s="92"/>
      <c r="T82" s="92"/>
      <c r="U82" s="92"/>
      <c r="V82" s="92"/>
    </row>
    <row r="83" spans="1:22">
      <c r="A83" s="23">
        <f>A82+1</f>
        <v>83</v>
      </c>
      <c r="B83" s="190" t="s">
        <v>100</v>
      </c>
      <c r="C83" s="230"/>
      <c r="D83" s="221">
        <f t="shared" ref="D83:O83" si="51">SUM(D44:D63)-D82</f>
        <v>17376.853589295431</v>
      </c>
      <c r="E83" s="113">
        <f t="shared" si="51"/>
        <v>17325.129999999997</v>
      </c>
      <c r="F83" s="113">
        <f t="shared" si="51"/>
        <v>17325.129999999997</v>
      </c>
      <c r="G83" s="113">
        <f t="shared" si="51"/>
        <v>17325.129999999997</v>
      </c>
      <c r="H83" s="113">
        <f t="shared" si="51"/>
        <v>17325.129999999997</v>
      </c>
      <c r="I83" s="113">
        <f t="shared" si="51"/>
        <v>17325.129999999997</v>
      </c>
      <c r="J83" s="113">
        <f t="shared" si="51"/>
        <v>17325.129999999997</v>
      </c>
      <c r="K83" s="113">
        <f t="shared" si="51"/>
        <v>17325.129999999997</v>
      </c>
      <c r="L83" s="113">
        <f t="shared" si="51"/>
        <v>17543.14</v>
      </c>
      <c r="M83" s="113">
        <f t="shared" si="51"/>
        <v>20676.339999991869</v>
      </c>
      <c r="N83" s="113">
        <f t="shared" si="51"/>
        <v>17543.14</v>
      </c>
      <c r="O83" s="113">
        <f t="shared" si="51"/>
        <v>17543.14</v>
      </c>
      <c r="P83" s="109">
        <f t="shared" ref="P83:P99" si="52">SUM(D83:O83)</f>
        <v>211958.52358928736</v>
      </c>
      <c r="Q83" s="92"/>
      <c r="R83" s="92"/>
      <c r="S83" s="92"/>
      <c r="T83" s="92"/>
      <c r="U83" s="92"/>
      <c r="V83" s="92"/>
    </row>
    <row r="84" spans="1:22">
      <c r="A84" s="23">
        <f t="shared" ref="A84:A100" si="53">A83+1</f>
        <v>84</v>
      </c>
      <c r="B84" s="191" t="s">
        <v>101</v>
      </c>
      <c r="C84" s="230"/>
      <c r="D84" s="222">
        <f>ROUND(D83*8%,0)</f>
        <v>1390</v>
      </c>
      <c r="E84" s="114">
        <f t="shared" ref="E84:O84" si="54">ROUND(E83*8%,0)</f>
        <v>1386</v>
      </c>
      <c r="F84" s="114">
        <f t="shared" si="54"/>
        <v>1386</v>
      </c>
      <c r="G84" s="114">
        <f t="shared" si="54"/>
        <v>1386</v>
      </c>
      <c r="H84" s="114">
        <f t="shared" si="54"/>
        <v>1386</v>
      </c>
      <c r="I84" s="114">
        <f t="shared" si="54"/>
        <v>1386</v>
      </c>
      <c r="J84" s="114">
        <f t="shared" si="54"/>
        <v>1386</v>
      </c>
      <c r="K84" s="114">
        <f t="shared" si="54"/>
        <v>1386</v>
      </c>
      <c r="L84" s="114">
        <f t="shared" si="54"/>
        <v>1403</v>
      </c>
      <c r="M84" s="114">
        <f t="shared" si="54"/>
        <v>1654</v>
      </c>
      <c r="N84" s="114">
        <f t="shared" si="54"/>
        <v>1403</v>
      </c>
      <c r="O84" s="114">
        <f t="shared" si="54"/>
        <v>1403</v>
      </c>
      <c r="P84" s="111">
        <f t="shared" si="52"/>
        <v>16955</v>
      </c>
      <c r="Q84" s="92"/>
      <c r="R84" s="92"/>
      <c r="S84" s="92"/>
      <c r="T84" s="92"/>
      <c r="U84" s="92"/>
      <c r="V84" s="92"/>
    </row>
    <row r="85" spans="1:22">
      <c r="A85" s="23">
        <f t="shared" si="53"/>
        <v>85</v>
      </c>
      <c r="B85" s="191" t="s">
        <v>102</v>
      </c>
      <c r="C85" s="230"/>
      <c r="D85" s="222">
        <f>D83-D84</f>
        <v>15986.853589295431</v>
      </c>
      <c r="E85" s="114">
        <f t="shared" ref="E85:O85" si="55">E83-E84</f>
        <v>15939.129999999997</v>
      </c>
      <c r="F85" s="114">
        <f t="shared" si="55"/>
        <v>15939.129999999997</v>
      </c>
      <c r="G85" s="114">
        <f t="shared" si="55"/>
        <v>15939.129999999997</v>
      </c>
      <c r="H85" s="114">
        <f t="shared" si="55"/>
        <v>15939.129999999997</v>
      </c>
      <c r="I85" s="114">
        <f t="shared" si="55"/>
        <v>15939.129999999997</v>
      </c>
      <c r="J85" s="114">
        <f t="shared" si="55"/>
        <v>15939.129999999997</v>
      </c>
      <c r="K85" s="114">
        <f t="shared" si="55"/>
        <v>15939.129999999997</v>
      </c>
      <c r="L85" s="114">
        <f t="shared" si="55"/>
        <v>16140.14</v>
      </c>
      <c r="M85" s="114">
        <f t="shared" si="55"/>
        <v>19022.339999991869</v>
      </c>
      <c r="N85" s="114">
        <f t="shared" si="55"/>
        <v>16140.14</v>
      </c>
      <c r="O85" s="114">
        <f t="shared" si="55"/>
        <v>16140.14</v>
      </c>
      <c r="P85" s="111">
        <f t="shared" si="52"/>
        <v>195003.52358928736</v>
      </c>
      <c r="Q85" s="92"/>
      <c r="R85" s="92"/>
      <c r="S85" s="92"/>
      <c r="T85" s="92"/>
      <c r="U85" s="92"/>
      <c r="V85" s="92"/>
    </row>
    <row r="86" spans="1:22">
      <c r="A86" s="23">
        <f t="shared" si="53"/>
        <v>86</v>
      </c>
      <c r="B86" s="191" t="s">
        <v>115</v>
      </c>
      <c r="C86" s="230"/>
      <c r="D86" s="222">
        <f t="shared" ref="D86:O86" si="56">ROUND(D85-D27,-1)</f>
        <v>10870</v>
      </c>
      <c r="E86" s="114">
        <f t="shared" si="56"/>
        <v>10820</v>
      </c>
      <c r="F86" s="114">
        <f t="shared" si="56"/>
        <v>10820</v>
      </c>
      <c r="G86" s="114">
        <f t="shared" si="56"/>
        <v>10820</v>
      </c>
      <c r="H86" s="114">
        <f t="shared" si="56"/>
        <v>10820</v>
      </c>
      <c r="I86" s="114">
        <f t="shared" si="56"/>
        <v>10820</v>
      </c>
      <c r="J86" s="114">
        <f t="shared" si="56"/>
        <v>10820</v>
      </c>
      <c r="K86" s="114">
        <f t="shared" si="56"/>
        <v>10820</v>
      </c>
      <c r="L86" s="114">
        <f t="shared" si="56"/>
        <v>11020</v>
      </c>
      <c r="M86" s="114">
        <f t="shared" si="56"/>
        <v>13900</v>
      </c>
      <c r="N86" s="114">
        <f t="shared" si="56"/>
        <v>11020</v>
      </c>
      <c r="O86" s="114">
        <f t="shared" si="56"/>
        <v>11020</v>
      </c>
      <c r="P86" s="111"/>
      <c r="Q86" s="92"/>
      <c r="R86" s="92"/>
      <c r="S86" s="92"/>
      <c r="T86" s="92"/>
      <c r="U86" s="92"/>
      <c r="V86" s="92"/>
    </row>
    <row r="87" spans="1:22">
      <c r="A87" s="23">
        <f t="shared" si="53"/>
        <v>87</v>
      </c>
      <c r="B87" s="191" t="s">
        <v>103</v>
      </c>
      <c r="C87" s="230"/>
      <c r="D87" s="222">
        <f t="shared" ref="D87:O87" si="57">ROUND(D86*D26/100,0)</f>
        <v>4457</v>
      </c>
      <c r="E87" s="114">
        <f t="shared" si="57"/>
        <v>4436</v>
      </c>
      <c r="F87" s="114">
        <f t="shared" si="57"/>
        <v>4436</v>
      </c>
      <c r="G87" s="114">
        <f t="shared" si="57"/>
        <v>4436</v>
      </c>
      <c r="H87" s="114">
        <f t="shared" si="57"/>
        <v>4436</v>
      </c>
      <c r="I87" s="114">
        <f t="shared" si="57"/>
        <v>4436</v>
      </c>
      <c r="J87" s="114">
        <f t="shared" si="57"/>
        <v>4436</v>
      </c>
      <c r="K87" s="114">
        <f t="shared" si="57"/>
        <v>4436</v>
      </c>
      <c r="L87" s="114">
        <f t="shared" si="57"/>
        <v>4518</v>
      </c>
      <c r="M87" s="114">
        <f t="shared" si="57"/>
        <v>5699</v>
      </c>
      <c r="N87" s="114">
        <f t="shared" si="57"/>
        <v>4518</v>
      </c>
      <c r="O87" s="114">
        <f t="shared" si="57"/>
        <v>4518</v>
      </c>
      <c r="P87" s="111">
        <f t="shared" si="52"/>
        <v>54762</v>
      </c>
      <c r="Q87" s="92"/>
      <c r="R87" s="92"/>
      <c r="S87" s="92"/>
      <c r="T87" s="92"/>
      <c r="U87" s="92"/>
      <c r="V87" s="92"/>
    </row>
    <row r="88" spans="1:22">
      <c r="A88" s="23">
        <f t="shared" si="53"/>
        <v>88</v>
      </c>
      <c r="B88" s="191" t="s">
        <v>279</v>
      </c>
      <c r="C88" s="243">
        <f>Ex10_11!P89</f>
        <v>121902.80427789691</v>
      </c>
      <c r="D88" s="222">
        <f>SUM(D44:D63)</f>
        <v>17436.853589295431</v>
      </c>
      <c r="E88" s="114">
        <f>SUM(E44:E63)</f>
        <v>17385.129999999997</v>
      </c>
      <c r="F88" s="114">
        <f>SUM(F44:F63)</f>
        <v>17385.129999999997</v>
      </c>
      <c r="G88" s="114">
        <f>SUM(G44:G63)</f>
        <v>17385.129999999997</v>
      </c>
      <c r="H88" s="114">
        <f>SUM(H44:H63)</f>
        <v>17385.129999999997</v>
      </c>
      <c r="I88" s="143" t="s">
        <v>220</v>
      </c>
      <c r="J88" s="165"/>
      <c r="K88" s="165"/>
      <c r="L88" s="165"/>
      <c r="M88" s="165"/>
      <c r="N88" s="165"/>
      <c r="O88" s="165"/>
      <c r="P88" s="111">
        <f>SUM(C88:H88)</f>
        <v>208880.17786719237</v>
      </c>
      <c r="Q88" s="92"/>
      <c r="R88" s="92"/>
      <c r="S88" s="92"/>
      <c r="T88" s="92"/>
      <c r="U88" s="92"/>
      <c r="V88" s="92"/>
    </row>
    <row r="89" spans="1:22">
      <c r="A89" s="23">
        <f t="shared" si="53"/>
        <v>89</v>
      </c>
      <c r="B89" s="191" t="s">
        <v>280</v>
      </c>
      <c r="C89" s="233"/>
      <c r="D89" s="144" t="s">
        <v>220</v>
      </c>
      <c r="E89" s="165"/>
      <c r="F89" s="165"/>
      <c r="G89" s="165"/>
      <c r="H89" s="165"/>
      <c r="I89" s="114">
        <f>SUM(I44:I63)</f>
        <v>17385.129999999997</v>
      </c>
      <c r="J89" s="114">
        <f>SUM(J44:J63)</f>
        <v>17385.129999999997</v>
      </c>
      <c r="K89" s="114">
        <f>SUM(K44:K63)</f>
        <v>17385.129999999997</v>
      </c>
      <c r="L89" s="114">
        <f>SUM(L44:L63)</f>
        <v>17603.14</v>
      </c>
      <c r="M89" s="114">
        <f>SUM(M44:M63)-M37</f>
        <v>17603.139999991869</v>
      </c>
      <c r="N89" s="114">
        <f>SUM(N44:N63)-N37</f>
        <v>17603.14</v>
      </c>
      <c r="O89" s="114">
        <f>SUM(O44:O63)-O37</f>
        <v>17603.14</v>
      </c>
      <c r="P89" s="111">
        <f t="shared" si="52"/>
        <v>122567.94999999186</v>
      </c>
      <c r="Q89" s="92"/>
      <c r="R89" s="92"/>
      <c r="S89" s="92"/>
      <c r="T89" s="92"/>
      <c r="U89" s="92"/>
      <c r="V89" s="92"/>
    </row>
    <row r="90" spans="1:22">
      <c r="A90" s="23">
        <f t="shared" si="53"/>
        <v>90</v>
      </c>
      <c r="B90" s="191" t="s">
        <v>193</v>
      </c>
      <c r="C90" s="230"/>
      <c r="D90" s="222">
        <f>D81</f>
        <v>964.81322227396436</v>
      </c>
      <c r="E90" s="114">
        <f t="shared" ref="E90:O90" si="58">E81</f>
        <v>961.93000000000006</v>
      </c>
      <c r="F90" s="114">
        <f t="shared" si="58"/>
        <v>961.93000000000006</v>
      </c>
      <c r="G90" s="114">
        <f t="shared" si="58"/>
        <v>961.93000000000006</v>
      </c>
      <c r="H90" s="114">
        <f t="shared" si="58"/>
        <v>961.93000000000006</v>
      </c>
      <c r="I90" s="114">
        <f t="shared" si="58"/>
        <v>961.93000000000006</v>
      </c>
      <c r="J90" s="114">
        <f t="shared" si="58"/>
        <v>961.93000000000006</v>
      </c>
      <c r="K90" s="114">
        <f t="shared" si="58"/>
        <v>961.93000000000006</v>
      </c>
      <c r="L90" s="114">
        <f t="shared" si="58"/>
        <v>974.37</v>
      </c>
      <c r="M90" s="114">
        <f t="shared" si="58"/>
        <v>974.37</v>
      </c>
      <c r="N90" s="114">
        <f t="shared" si="58"/>
        <v>974.37</v>
      </c>
      <c r="O90" s="114">
        <f t="shared" si="58"/>
        <v>974.37</v>
      </c>
      <c r="P90" s="111">
        <f t="shared" si="52"/>
        <v>11595.803222273969</v>
      </c>
      <c r="Q90" s="92"/>
      <c r="R90" s="92"/>
      <c r="S90" s="92"/>
      <c r="T90" s="92"/>
      <c r="U90" s="92"/>
      <c r="V90" s="92"/>
    </row>
    <row r="91" spans="1:22">
      <c r="A91" s="23">
        <f t="shared" si="53"/>
        <v>91</v>
      </c>
      <c r="B91" s="191" t="s">
        <v>197</v>
      </c>
      <c r="C91" s="230"/>
      <c r="D91" s="222">
        <f>D90*2</f>
        <v>1929.6264445479287</v>
      </c>
      <c r="E91" s="114">
        <f t="shared" ref="E91:O91" si="59">E90*2</f>
        <v>1923.8600000000001</v>
      </c>
      <c r="F91" s="114">
        <f t="shared" si="59"/>
        <v>1923.8600000000001</v>
      </c>
      <c r="G91" s="114">
        <f t="shared" si="59"/>
        <v>1923.8600000000001</v>
      </c>
      <c r="H91" s="114">
        <f t="shared" si="59"/>
        <v>1923.8600000000001</v>
      </c>
      <c r="I91" s="114">
        <f t="shared" si="59"/>
        <v>1923.8600000000001</v>
      </c>
      <c r="J91" s="114">
        <f t="shared" si="59"/>
        <v>1923.8600000000001</v>
      </c>
      <c r="K91" s="114">
        <f t="shared" si="59"/>
        <v>1923.8600000000001</v>
      </c>
      <c r="L91" s="114">
        <f t="shared" si="59"/>
        <v>1948.74</v>
      </c>
      <c r="M91" s="114">
        <f t="shared" si="59"/>
        <v>1948.74</v>
      </c>
      <c r="N91" s="114">
        <f t="shared" si="59"/>
        <v>1948.74</v>
      </c>
      <c r="O91" s="114">
        <f t="shared" si="59"/>
        <v>1948.74</v>
      </c>
      <c r="P91" s="111">
        <f t="shared" si="52"/>
        <v>23191.606444547939</v>
      </c>
      <c r="Q91" s="92"/>
      <c r="R91" s="92"/>
      <c r="S91" s="92"/>
      <c r="T91" s="92"/>
      <c r="U91" s="92"/>
      <c r="V91" s="92"/>
    </row>
    <row r="92" spans="1:22">
      <c r="A92" s="23">
        <f t="shared" si="53"/>
        <v>92</v>
      </c>
      <c r="B92" s="191" t="s">
        <v>46</v>
      </c>
      <c r="C92" s="230"/>
      <c r="D92" s="222">
        <f>D94*2/3</f>
        <v>120</v>
      </c>
      <c r="E92" s="114">
        <f t="shared" ref="E92:O92" si="60">E94*2/3</f>
        <v>120</v>
      </c>
      <c r="F92" s="114">
        <f t="shared" si="60"/>
        <v>120</v>
      </c>
      <c r="G92" s="114">
        <f t="shared" si="60"/>
        <v>120</v>
      </c>
      <c r="H92" s="114">
        <f t="shared" si="60"/>
        <v>120</v>
      </c>
      <c r="I92" s="114">
        <f t="shared" si="60"/>
        <v>120</v>
      </c>
      <c r="J92" s="114">
        <f t="shared" si="60"/>
        <v>120</v>
      </c>
      <c r="K92" s="114">
        <f t="shared" si="60"/>
        <v>120</v>
      </c>
      <c r="L92" s="114">
        <f t="shared" si="60"/>
        <v>120</v>
      </c>
      <c r="M92" s="114">
        <f t="shared" si="60"/>
        <v>120</v>
      </c>
      <c r="N92" s="114">
        <f t="shared" si="60"/>
        <v>120</v>
      </c>
      <c r="O92" s="114">
        <f t="shared" si="60"/>
        <v>120</v>
      </c>
      <c r="P92" s="111">
        <f t="shared" si="52"/>
        <v>1440</v>
      </c>
      <c r="Q92" s="92"/>
      <c r="R92" s="92"/>
      <c r="S92" s="92"/>
      <c r="T92" s="92"/>
      <c r="U92" s="92"/>
      <c r="V92" s="92"/>
    </row>
    <row r="93" spans="1:22">
      <c r="A93" s="23">
        <f t="shared" si="53"/>
        <v>93</v>
      </c>
      <c r="B93" s="191" t="s">
        <v>120</v>
      </c>
      <c r="C93" s="230"/>
      <c r="D93" s="222">
        <f>D90+D91</f>
        <v>2894.4396668218933</v>
      </c>
      <c r="E93" s="114">
        <f t="shared" ref="E93:O93" si="61">E90+E91</f>
        <v>2885.79</v>
      </c>
      <c r="F93" s="114">
        <f t="shared" si="61"/>
        <v>2885.79</v>
      </c>
      <c r="G93" s="114">
        <f t="shared" si="61"/>
        <v>2885.79</v>
      </c>
      <c r="H93" s="114">
        <f t="shared" si="61"/>
        <v>2885.79</v>
      </c>
      <c r="I93" s="114">
        <f t="shared" si="61"/>
        <v>2885.79</v>
      </c>
      <c r="J93" s="114">
        <f t="shared" si="61"/>
        <v>2885.79</v>
      </c>
      <c r="K93" s="114">
        <f t="shared" si="61"/>
        <v>2885.79</v>
      </c>
      <c r="L93" s="114">
        <f t="shared" si="61"/>
        <v>2923.11</v>
      </c>
      <c r="M93" s="114">
        <f t="shared" si="61"/>
        <v>2923.11</v>
      </c>
      <c r="N93" s="114">
        <f t="shared" si="61"/>
        <v>2923.11</v>
      </c>
      <c r="O93" s="114">
        <f t="shared" si="61"/>
        <v>2923.11</v>
      </c>
      <c r="P93" s="111">
        <f t="shared" si="52"/>
        <v>34787.409666821899</v>
      </c>
      <c r="Q93" s="92"/>
      <c r="R93" s="92"/>
      <c r="S93" s="92"/>
      <c r="T93" s="92"/>
      <c r="U93" s="92"/>
      <c r="V93" s="92"/>
    </row>
    <row r="94" spans="1:22">
      <c r="A94" s="23">
        <f t="shared" si="53"/>
        <v>94</v>
      </c>
      <c r="B94" s="191" t="s">
        <v>121</v>
      </c>
      <c r="C94" s="230"/>
      <c r="D94" s="222">
        <f t="shared" ref="D94:O94" si="62">90*(((D9*D3)&gt;=9/37)+((D9*D3)&gt;=18/37)+((D9*D3)&gt;=27/37))</f>
        <v>180</v>
      </c>
      <c r="E94" s="222">
        <f t="shared" si="62"/>
        <v>180</v>
      </c>
      <c r="F94" s="222">
        <f t="shared" si="62"/>
        <v>180</v>
      </c>
      <c r="G94" s="222">
        <f t="shared" si="62"/>
        <v>180</v>
      </c>
      <c r="H94" s="222">
        <f t="shared" si="62"/>
        <v>180</v>
      </c>
      <c r="I94" s="114">
        <f t="shared" si="62"/>
        <v>180</v>
      </c>
      <c r="J94" s="114">
        <f t="shared" si="62"/>
        <v>180</v>
      </c>
      <c r="K94" s="114">
        <f t="shared" si="62"/>
        <v>180</v>
      </c>
      <c r="L94" s="114">
        <f t="shared" si="62"/>
        <v>180</v>
      </c>
      <c r="M94" s="114">
        <f t="shared" si="62"/>
        <v>180</v>
      </c>
      <c r="N94" s="114">
        <f t="shared" si="62"/>
        <v>180</v>
      </c>
      <c r="O94" s="114">
        <f t="shared" si="62"/>
        <v>180</v>
      </c>
      <c r="P94" s="111">
        <f t="shared" si="52"/>
        <v>2160</v>
      </c>
      <c r="Q94" s="92"/>
      <c r="R94" s="92"/>
      <c r="S94" s="92"/>
      <c r="T94" s="92"/>
      <c r="U94" s="92"/>
      <c r="V94" s="92"/>
    </row>
    <row r="95" spans="1:22">
      <c r="A95" s="23">
        <f t="shared" si="53"/>
        <v>95</v>
      </c>
      <c r="B95" s="191" t="s">
        <v>144</v>
      </c>
      <c r="C95" s="230"/>
      <c r="D95" s="222">
        <f t="shared" ref="D95:O95" si="63">IF(OR(LEFT(D6)="P",LEFT(D6)="E"),VLOOKUP(VALUE(MID(D6,2,2)),Skalalontabel,7,0)*D9*D7/12*15%*MIN(1,D9)*D3,0)</f>
        <v>0</v>
      </c>
      <c r="E95" s="222">
        <f t="shared" si="63"/>
        <v>0</v>
      </c>
      <c r="F95" s="222">
        <f t="shared" si="63"/>
        <v>0</v>
      </c>
      <c r="G95" s="222">
        <f t="shared" si="63"/>
        <v>0</v>
      </c>
      <c r="H95" s="222">
        <f t="shared" si="63"/>
        <v>0</v>
      </c>
      <c r="I95" s="222">
        <f t="shared" si="63"/>
        <v>0</v>
      </c>
      <c r="J95" s="222">
        <f t="shared" si="63"/>
        <v>0</v>
      </c>
      <c r="K95" s="222">
        <f t="shared" si="63"/>
        <v>0</v>
      </c>
      <c r="L95" s="222">
        <f t="shared" si="63"/>
        <v>0</v>
      </c>
      <c r="M95" s="222">
        <f t="shared" si="63"/>
        <v>0</v>
      </c>
      <c r="N95" s="222">
        <f t="shared" si="63"/>
        <v>0</v>
      </c>
      <c r="O95" s="222">
        <f t="shared" si="63"/>
        <v>0</v>
      </c>
      <c r="P95" s="111">
        <f t="shared" si="52"/>
        <v>0</v>
      </c>
      <c r="Q95" s="92"/>
      <c r="R95" s="92"/>
      <c r="S95" s="92"/>
      <c r="T95" s="92"/>
      <c r="U95" s="92"/>
      <c r="V95" s="92"/>
    </row>
    <row r="96" spans="1:22">
      <c r="A96" s="23">
        <f t="shared" si="53"/>
        <v>96</v>
      </c>
      <c r="B96" s="191" t="s">
        <v>104</v>
      </c>
      <c r="C96" s="230"/>
      <c r="D96" s="222">
        <f>108.35*(D9&gt;=0.4054)</f>
        <v>108.35</v>
      </c>
      <c r="E96" s="114">
        <f t="shared" ref="E96:K96" si="64">108.35*(E9&gt;=0.4054)</f>
        <v>108.35</v>
      </c>
      <c r="F96" s="114">
        <f t="shared" si="64"/>
        <v>108.35</v>
      </c>
      <c r="G96" s="114">
        <f t="shared" si="64"/>
        <v>108.35</v>
      </c>
      <c r="H96" s="114">
        <f t="shared" si="64"/>
        <v>108.35</v>
      </c>
      <c r="I96" s="114">
        <f t="shared" si="64"/>
        <v>108.35</v>
      </c>
      <c r="J96" s="114">
        <f t="shared" si="64"/>
        <v>108.35</v>
      </c>
      <c r="K96" s="114">
        <f t="shared" si="64"/>
        <v>108.35</v>
      </c>
      <c r="L96" s="114">
        <f>108.35*(L9&gt;0)</f>
        <v>108.35</v>
      </c>
      <c r="M96" s="114">
        <f>108.35*(M9&gt;0)</f>
        <v>108.35</v>
      </c>
      <c r="N96" s="114">
        <f>108.35*(N9&gt;0)</f>
        <v>108.35</v>
      </c>
      <c r="O96" s="114">
        <f>108.35*(O9&gt;0)</f>
        <v>108.35</v>
      </c>
      <c r="P96" s="111">
        <f t="shared" si="52"/>
        <v>1300.1999999999998</v>
      </c>
      <c r="Q96" s="92"/>
      <c r="R96" s="92"/>
      <c r="S96" s="92"/>
      <c r="T96" s="92"/>
      <c r="U96" s="92"/>
      <c r="V96" s="92"/>
    </row>
    <row r="97" spans="1:22">
      <c r="A97" s="23">
        <f t="shared" si="53"/>
        <v>97</v>
      </c>
      <c r="B97" s="192" t="s">
        <v>228</v>
      </c>
      <c r="C97" s="230"/>
      <c r="D97" s="223">
        <f>D65-(D87+D82+D84+D96)</f>
        <v>11421.503589295431</v>
      </c>
      <c r="E97" s="223">
        <f t="shared" ref="E97:O97" si="65">E65-(E87+E82+E84+E96)</f>
        <v>11394.779999999997</v>
      </c>
      <c r="F97" s="223">
        <f t="shared" si="65"/>
        <v>11394.779999999997</v>
      </c>
      <c r="G97" s="223">
        <f t="shared" si="65"/>
        <v>11394.779999999997</v>
      </c>
      <c r="H97" s="223">
        <f t="shared" si="65"/>
        <v>11394.779999999997</v>
      </c>
      <c r="I97" s="223">
        <f t="shared" si="65"/>
        <v>11394.779999999997</v>
      </c>
      <c r="J97" s="223">
        <f t="shared" si="65"/>
        <v>11394.779999999997</v>
      </c>
      <c r="K97" s="223">
        <f t="shared" si="65"/>
        <v>11394.779999999997</v>
      </c>
      <c r="L97" s="223">
        <f t="shared" si="65"/>
        <v>11513.789999999999</v>
      </c>
      <c r="M97" s="223">
        <f t="shared" si="65"/>
        <v>13214.989999991869</v>
      </c>
      <c r="N97" s="223">
        <f t="shared" si="65"/>
        <v>11513.789999999999</v>
      </c>
      <c r="O97" s="223">
        <f t="shared" si="65"/>
        <v>11513.789999999999</v>
      </c>
      <c r="P97" s="119">
        <f>SUM(C97:O97)</f>
        <v>138941.32358928726</v>
      </c>
      <c r="Q97" s="91"/>
      <c r="R97" s="91"/>
      <c r="S97" s="92"/>
      <c r="T97" s="92"/>
      <c r="U97" s="92"/>
      <c r="V97" s="92"/>
    </row>
    <row r="98" spans="1:22">
      <c r="A98" s="23">
        <f t="shared" si="53"/>
        <v>98</v>
      </c>
      <c r="B98" s="121" t="s">
        <v>281</v>
      </c>
      <c r="C98" s="244">
        <f>Ex10_11!P99</f>
        <v>111510.47423965389</v>
      </c>
      <c r="D98" s="142">
        <f>(SUM(D44:D63)+D81)*(1-12/260*D21)</f>
        <v>14155.128316591843</v>
      </c>
      <c r="E98" s="140">
        <f>(SUM(E44:E63)+E81)*(1-12/260*E21)</f>
        <v>18347.059999999998</v>
      </c>
      <c r="F98" s="140">
        <f>(SUM(F44:F63)+F81)*(1-12/260*F21)</f>
        <v>18347.059999999998</v>
      </c>
      <c r="G98" s="140">
        <f>(SUM(G44:G63)+G81)*(1-12/260*G21)</f>
        <v>18347.059999999998</v>
      </c>
      <c r="H98" s="146">
        <f>(SUM(H44:H63)+H81)*(1-12/260*H21)</f>
        <v>18347.059999999998</v>
      </c>
      <c r="I98" s="143" t="s">
        <v>233</v>
      </c>
      <c r="J98" s="123"/>
      <c r="K98" s="123"/>
      <c r="L98" s="123"/>
      <c r="M98" s="123"/>
      <c r="N98" s="123"/>
      <c r="O98" s="123"/>
      <c r="P98" s="111">
        <f>SUM(C98:H98)</f>
        <v>199053.84255624574</v>
      </c>
      <c r="Q98" s="130"/>
      <c r="R98" s="130"/>
      <c r="S98" s="92"/>
      <c r="T98" s="92"/>
      <c r="U98" s="92"/>
      <c r="V98" s="92"/>
    </row>
    <row r="99" spans="1:22">
      <c r="A99" s="23">
        <f t="shared" si="53"/>
        <v>99</v>
      </c>
      <c r="B99" s="193" t="s">
        <v>282</v>
      </c>
      <c r="C99" s="233"/>
      <c r="D99" s="144" t="s">
        <v>233</v>
      </c>
      <c r="E99" s="139"/>
      <c r="F99" s="139"/>
      <c r="G99" s="139"/>
      <c r="H99" s="141"/>
      <c r="I99" s="142">
        <f>(SUM(I$44:I$63)+I$81)*(1-12/260*I$21)</f>
        <v>18347.059999999998</v>
      </c>
      <c r="J99" s="140">
        <f>(SUM(J$44:J$63)+J$81)*(1-12/260*J$21)</f>
        <v>18347.059999999998</v>
      </c>
      <c r="K99" s="140">
        <f>(SUM(K$44:K$63)+K$81)*(1-12/260*K$21)</f>
        <v>18347.059999999998</v>
      </c>
      <c r="L99" s="140">
        <f>(SUM(L$44:L$63)+L$81)*(1-12/260*L$21)</f>
        <v>18577.509999999998</v>
      </c>
      <c r="M99" s="140">
        <f>(SUM(M$44:M$63)-M37+M$81)*(1-12/260*M$21)</f>
        <v>18577.509999983293</v>
      </c>
      <c r="N99" s="140">
        <f>(SUM(N$44:N$63)-N37+N$81)*(1-12/260*N$21)</f>
        <v>18577.509999999998</v>
      </c>
      <c r="O99" s="140">
        <f>(SUM(O$44:O$63)-O37+O$81)*(1-12/260*O$21)</f>
        <v>1429.0392307692298</v>
      </c>
      <c r="P99" s="145">
        <f t="shared" si="52"/>
        <v>112202.7492307525</v>
      </c>
      <c r="Q99" s="130"/>
      <c r="R99" s="130"/>
      <c r="S99" s="92"/>
      <c r="T99" s="92"/>
      <c r="U99" s="92"/>
      <c r="V99" s="92"/>
    </row>
    <row r="100" spans="1:22" s="124" customFormat="1">
      <c r="A100" s="23">
        <f t="shared" si="53"/>
        <v>100</v>
      </c>
      <c r="B100" s="136" t="s">
        <v>234</v>
      </c>
      <c r="C100" s="231"/>
      <c r="D100" s="224">
        <f>IF(D9&gt;0,(D44+D45+D52+D53+D54+D55+D56+D57)/D9,0)</f>
        <v>24338.221953432116</v>
      </c>
      <c r="E100" s="137">
        <f t="shared" ref="E100:O100" si="66">IF(E9&gt;0,(E44+E45+E52+E53+E54+E55+E56+E57)/E9,0)</f>
        <v>24338.221953432116</v>
      </c>
      <c r="F100" s="137">
        <f t="shared" si="66"/>
        <v>24338.221953432116</v>
      </c>
      <c r="G100" s="137">
        <f t="shared" si="66"/>
        <v>24338.221953432116</v>
      </c>
      <c r="H100" s="137">
        <f t="shared" si="66"/>
        <v>24338.221953432116</v>
      </c>
      <c r="I100" s="137">
        <f t="shared" si="66"/>
        <v>24338.221953432116</v>
      </c>
      <c r="J100" s="137">
        <f t="shared" si="66"/>
        <v>24338.221953432116</v>
      </c>
      <c r="K100" s="137">
        <f t="shared" si="66"/>
        <v>24338.221953432116</v>
      </c>
      <c r="L100" s="137">
        <f t="shared" si="66"/>
        <v>24644.723314182043</v>
      </c>
      <c r="M100" s="137">
        <f t="shared" si="66"/>
        <v>24644.723314182043</v>
      </c>
      <c r="N100" s="137">
        <f t="shared" si="66"/>
        <v>24644.723314182043</v>
      </c>
      <c r="O100" s="137">
        <f t="shared" si="66"/>
        <v>24644.723314182043</v>
      </c>
      <c r="P100" s="138"/>
      <c r="Q100" s="92"/>
      <c r="R100" s="92"/>
      <c r="S100" s="92"/>
      <c r="T100" s="92"/>
      <c r="U100" s="92"/>
      <c r="V100" s="92"/>
    </row>
    <row r="101" spans="1:22" s="124" customFormat="1" ht="13" thickBot="1">
      <c r="A101" s="23">
        <f>A100+1</f>
        <v>101</v>
      </c>
      <c r="B101" s="124" t="s">
        <v>268</v>
      </c>
      <c r="C101" s="231"/>
      <c r="D101" s="125">
        <f>IF(D9&gt;0,(D66+D73+D74+D76+D77)/D9,0)</f>
        <v>1356.6827940731782</v>
      </c>
      <c r="E101" s="125">
        <f t="shared" ref="E101:O101" si="67">IF(E9&gt;0,(E66+E73+E74+E76+E77)/E9,0)</f>
        <v>1356.6827940731782</v>
      </c>
      <c r="F101" s="125">
        <f t="shared" si="67"/>
        <v>1356.6827940731782</v>
      </c>
      <c r="G101" s="125">
        <f t="shared" si="67"/>
        <v>1356.6827940731782</v>
      </c>
      <c r="H101" s="125">
        <f t="shared" si="67"/>
        <v>1356.6827940731782</v>
      </c>
      <c r="I101" s="125">
        <f t="shared" si="67"/>
        <v>1356.6827940731782</v>
      </c>
      <c r="J101" s="125">
        <f t="shared" si="67"/>
        <v>1356.6827940731782</v>
      </c>
      <c r="K101" s="125">
        <f t="shared" si="67"/>
        <v>1356.6827940731782</v>
      </c>
      <c r="L101" s="125">
        <f t="shared" si="67"/>
        <v>1374.236468097974</v>
      </c>
      <c r="M101" s="125">
        <f t="shared" si="67"/>
        <v>1374.236468097974</v>
      </c>
      <c r="N101" s="125">
        <f t="shared" si="67"/>
        <v>1374.236468097974</v>
      </c>
      <c r="O101" s="125">
        <f t="shared" si="67"/>
        <v>1374.236468097974</v>
      </c>
      <c r="P101" s="126"/>
      <c r="Q101" s="92"/>
      <c r="R101" s="92"/>
      <c r="S101" s="92"/>
      <c r="T101" s="92"/>
      <c r="U101" s="92"/>
      <c r="V101" s="92"/>
    </row>
    <row r="102" spans="1:22" ht="13" thickTop="1">
      <c r="A102" s="132">
        <f>A101+1</f>
        <v>102</v>
      </c>
      <c r="B102" s="133" t="s">
        <v>97</v>
      </c>
      <c r="C102" s="232"/>
      <c r="D102" s="225">
        <f t="shared" ref="D102:K102" si="68">IF(LEFT(D$4)&lt;&gt;"b",IF(D$10&gt;=650,650*ROUND(12.5*D$7,2)/12,D$10*ROUND(12.5*D$7,2)/12),IF(D$10&gt;=750,750*ROUND(17.1*D$7,2)/12,D$10*ROUND(17.1*D$7,2)/12))</f>
        <v>1120.5</v>
      </c>
      <c r="E102" s="157">
        <f t="shared" si="68"/>
        <v>1120.5</v>
      </c>
      <c r="F102" s="157">
        <f t="shared" si="68"/>
        <v>1120.5</v>
      </c>
      <c r="G102" s="157">
        <f t="shared" si="68"/>
        <v>1120.5</v>
      </c>
      <c r="H102" s="157">
        <f t="shared" si="68"/>
        <v>1120.5</v>
      </c>
      <c r="I102" s="157">
        <f t="shared" si="68"/>
        <v>1120.5</v>
      </c>
      <c r="J102" s="157">
        <f t="shared" si="68"/>
        <v>1120.5</v>
      </c>
      <c r="K102" s="157">
        <f t="shared" si="68"/>
        <v>1120.5</v>
      </c>
      <c r="L102" s="157">
        <f>IF(LEFT(L$4)&lt;&gt;"b",IF(L$10&gt;=650,650*ROUND(16.38*L$7,2)/12,L$10*ROUND(16.38*L$7,2)/12),IF(L$10&gt;=750,750*ROUND(22.41*L$7,2)/12,L$10*ROUND(22.41*L$7,2)/12))</f>
        <v>1135</v>
      </c>
      <c r="M102" s="157">
        <f>IF(LEFT(M$4)&lt;&gt;"b",IF(M$10&gt;=650,650*ROUND(16.38*M$7,2)/12,M$10*ROUND(16.38*M$7,2)/12),IF(M$10&gt;=750,750*ROUND(22.41*M$7,2)/12,M$10*ROUND(22.41*M$7,2)/12))</f>
        <v>1135</v>
      </c>
      <c r="N102" s="157">
        <f>IF(LEFT(N$4)&lt;&gt;"b",IF(N$10&gt;=650,650*ROUND(16.38*N$7,2)/12,N$10*ROUND(16.38*N$7,2)/12),IF(N$10&gt;=750,750*ROUND(22.41*N$7,2)/12,N$10*ROUND(22.41*N$7,2)/12))</f>
        <v>1135</v>
      </c>
      <c r="O102" s="157">
        <f>IF(LEFT(O$4)&lt;&gt;"b",IF(O$10&gt;=650,650*ROUND(16.38*O$7,2)/12,O$10*ROUND(16.38*O$7,2)/12),IF(O$10&gt;=750,750*ROUND(22.41*O$7,2)/12,O$10*ROUND(22.41*O$7,2)/12))</f>
        <v>1135</v>
      </c>
      <c r="P102" s="134" t="s">
        <v>199</v>
      </c>
      <c r="Q102" s="92"/>
      <c r="R102" s="92"/>
      <c r="S102" s="92"/>
      <c r="T102" s="92"/>
      <c r="U102" s="92"/>
      <c r="V102" s="92"/>
    </row>
    <row r="103" spans="1:22">
      <c r="A103" s="23">
        <f>A102+1</f>
        <v>103</v>
      </c>
      <c r="B103" s="194" t="s">
        <v>98</v>
      </c>
      <c r="C103" s="232"/>
      <c r="D103" s="226">
        <f t="shared" ref="D103:K103" si="69">IF(LEFT(D$4)&lt;&gt;"b",IF(D$10&gt;650,IF(D$10&gt;=700,50*ROUND(75*D$7,2)/12,(D$10-650)*ROUND(75*D$7,2)/12),0),IF(D$10&gt;750,IF(D$10&gt;=800,50*ROUND(50*D$7,2)/12,(D$10-750)*ROUND(50*D$7,2)/12),0))</f>
        <v>0</v>
      </c>
      <c r="E103" s="115">
        <f t="shared" si="69"/>
        <v>0</v>
      </c>
      <c r="F103" s="115">
        <f t="shared" si="69"/>
        <v>0</v>
      </c>
      <c r="G103" s="115">
        <f t="shared" si="69"/>
        <v>0</v>
      </c>
      <c r="H103" s="115">
        <f t="shared" si="69"/>
        <v>0</v>
      </c>
      <c r="I103" s="115">
        <f t="shared" si="69"/>
        <v>0</v>
      </c>
      <c r="J103" s="115">
        <f t="shared" si="69"/>
        <v>0</v>
      </c>
      <c r="K103" s="115">
        <f t="shared" si="69"/>
        <v>0</v>
      </c>
      <c r="L103" s="115">
        <f t="array" ref="L103:O103">IF(LEFT(L$4)&lt;&gt;"b",IF(L$10&gt;650,IF(L$10&gt;=700,50*ROUND(98.3*L$7,2)/12,(L$10-650)*ROUND(98.3*L$7,2)/12),0),IF(L$10&gt;750,IF(L$10&gt;=800,65.53*ROUND(65.53*L$7,2)/12,(L$10-750)*ROUND(65.53*L$7,2)/12),0))</f>
        <v>0</v>
      </c>
      <c r="M103" s="115">
        <v>0</v>
      </c>
      <c r="N103" s="115">
        <v>0</v>
      </c>
      <c r="O103" s="115">
        <v>0</v>
      </c>
      <c r="P103" s="116" t="s">
        <v>199</v>
      </c>
      <c r="Q103" s="92"/>
      <c r="R103" s="92"/>
      <c r="S103" s="92"/>
      <c r="T103" s="92"/>
      <c r="U103" s="92"/>
      <c r="V103" s="92"/>
    </row>
    <row r="104" spans="1:22">
      <c r="A104" s="23">
        <f>A103+1</f>
        <v>104</v>
      </c>
      <c r="B104" s="194" t="s">
        <v>179</v>
      </c>
      <c r="C104" s="232"/>
      <c r="D104" s="226">
        <f t="shared" ref="D104:K104" si="70">IF(LEFT(D$4)&lt;&gt;"b",IF(D$10&gt;700,IF(D$10&gt;=750,50*ROUND(100*D$7,2)/12,(D$10-700)*ROUND(100*D$7,2)/12),0),IF(D$10&gt;800,IF(D$10&gt;=835,35*ROUND(100*D$7,2)/12,(D$10-800)*ROUND(100*D$7,2)/12),0))</f>
        <v>0</v>
      </c>
      <c r="E104" s="115">
        <f t="shared" si="70"/>
        <v>0</v>
      </c>
      <c r="F104" s="115">
        <f t="shared" si="70"/>
        <v>0</v>
      </c>
      <c r="G104" s="115">
        <f t="shared" si="70"/>
        <v>0</v>
      </c>
      <c r="H104" s="115">
        <f t="shared" si="70"/>
        <v>0</v>
      </c>
      <c r="I104" s="115">
        <f t="shared" si="70"/>
        <v>0</v>
      </c>
      <c r="J104" s="115">
        <f t="shared" si="70"/>
        <v>0</v>
      </c>
      <c r="K104" s="115">
        <f t="shared" si="70"/>
        <v>0</v>
      </c>
      <c r="L104" s="115">
        <f>IF(LEFT(L$4)&lt;&gt;"b",IF(L$10&gt;700,IF(L$10&gt;=750,50*ROUND(131.07*L$7,2)/12,(L$10-700)*ROUND(131.07*L$7,2)/12),0),IF(L$10&gt;800,IF(L$10&gt;=835,35*ROUND(131.07*L$7,2)/12,(L$10-800)*ROUND(131.07*L$7,2)/12),0))</f>
        <v>0</v>
      </c>
      <c r="M104" s="115">
        <f>IF(LEFT(M$4)&lt;&gt;"b",IF(M$10&gt;700,IF(M$10&gt;=750,50*ROUND(131.07*M$7,2)/12,(M$10-700)*ROUND(131.07*M$7,2)/12),0),IF(M$10&gt;800,IF(M$10&gt;=835,35*ROUND(131.07*M$7,2)/12,(M$10-800)*ROUND(131.07*M$7,2)/12),0))</f>
        <v>0</v>
      </c>
      <c r="N104" s="115">
        <f>IF(LEFT(N$4)&lt;&gt;"b",IF(N$10&gt;700,IF(N$10&gt;=750,50*ROUND(131.07*N$7,2)/12,(N$10-700)*ROUND(131.07*N$7,2)/12),0),IF(N$10&gt;800,IF(N$10&gt;=835,35*ROUND(131.07*N$7,2)/12,(N$10-800)*ROUND(131.07*N$7,2)/12),0))</f>
        <v>0</v>
      </c>
      <c r="O104" s="115">
        <f>IF(LEFT(O$4)&lt;&gt;"b",IF(O$10&gt;700,IF(O$10&gt;=750,50*ROUND(131.07*O$7,2)/12,(O$10-700)*ROUND(131.07*O$7,2)/12),0),IF(O$10&gt;800,IF(O$10&gt;=835,35*ROUND(131.07*O$7,2)/12,(O$10-800)*ROUND(131.07*O$7,2)/12),0))</f>
        <v>0</v>
      </c>
      <c r="P104" s="116" t="s">
        <v>199</v>
      </c>
      <c r="Q104" s="92"/>
      <c r="R104" s="92"/>
      <c r="S104" s="92"/>
      <c r="T104" s="92"/>
      <c r="U104" s="92"/>
      <c r="V104" s="92"/>
    </row>
    <row r="105" spans="1:22">
      <c r="A105" s="23">
        <f>A104+1</f>
        <v>105</v>
      </c>
      <c r="B105" s="195" t="s">
        <v>180</v>
      </c>
      <c r="C105" s="232"/>
      <c r="D105" s="227">
        <f t="shared" ref="D105:K105" si="71">IF(LEFT(D$4)&lt;&gt;"b",IF(D$10&gt;750,(D$10-750)*ROUND(125*D$7,2)/12,0),IF(D$10&gt;835,(D$10-835)*ROUND(125*D$7,2)/12,0))</f>
        <v>0</v>
      </c>
      <c r="E105" s="117">
        <f t="shared" si="71"/>
        <v>0</v>
      </c>
      <c r="F105" s="117">
        <f t="shared" si="71"/>
        <v>0</v>
      </c>
      <c r="G105" s="117">
        <f t="shared" si="71"/>
        <v>0</v>
      </c>
      <c r="H105" s="117">
        <f t="shared" si="71"/>
        <v>0</v>
      </c>
      <c r="I105" s="117">
        <f t="shared" si="71"/>
        <v>0</v>
      </c>
      <c r="J105" s="117">
        <f t="shared" si="71"/>
        <v>0</v>
      </c>
      <c r="K105" s="117">
        <f t="shared" si="71"/>
        <v>0</v>
      </c>
      <c r="L105" s="117">
        <f>IF(LEFT(L$4)&lt;&gt;"b",IF(L$10&gt;750,(L$10-750)*ROUND(163.83*L$7,2)/12,0),IF(L$10&gt;835,(L$10-835)*ROUND(163.83*L$7,2)/12,0))</f>
        <v>0</v>
      </c>
      <c r="M105" s="117">
        <f>IF(LEFT(M$4)&lt;&gt;"b",IF(M$10&gt;750,(M$10-750)*ROUND(163.83*M$7,2)/12,0),IF(M$10&gt;835,(M$10-835)*ROUND(163.83*M$7,2)/12,0))</f>
        <v>0</v>
      </c>
      <c r="N105" s="117">
        <f>IF(LEFT(N$4)&lt;&gt;"b",IF(N$10&gt;750,(N$10-750)*ROUND(163.83*N$7,2)/12,0),IF(N$10&gt;835,(N$10-835)*ROUND(163.83*N$7,2)/12,0))</f>
        <v>0</v>
      </c>
      <c r="O105" s="117">
        <f>IF(LEFT(O$4)&lt;&gt;"b",IF(O$10&gt;750,(O$10-750)*ROUND(163.83*O$7,2)/12,0),IF(O$10&gt;835,(O$10-835)*ROUND(163.83*O$7,2)/12,0))</f>
        <v>0</v>
      </c>
      <c r="P105" s="118" t="s">
        <v>199</v>
      </c>
      <c r="Q105" s="92"/>
      <c r="R105" s="92"/>
      <c r="S105" s="92"/>
      <c r="T105" s="92"/>
      <c r="U105" s="92"/>
      <c r="V105" s="92"/>
    </row>
    <row r="106" spans="1:22">
      <c r="C106" s="245"/>
      <c r="Q106" s="92"/>
      <c r="R106" s="92"/>
      <c r="S106" s="92"/>
      <c r="T106" s="92"/>
      <c r="U106" s="92"/>
      <c r="V106" s="92"/>
    </row>
    <row r="107" spans="1:22" s="127" customFormat="1">
      <c r="A107" s="91"/>
      <c r="B107" s="92"/>
      <c r="C107" s="92"/>
      <c r="D107" s="120"/>
      <c r="E107" s="120"/>
      <c r="F107" s="120"/>
      <c r="G107" s="120"/>
      <c r="H107" s="120"/>
      <c r="I107" s="120"/>
      <c r="J107" s="120"/>
      <c r="K107" s="120"/>
      <c r="L107" s="120"/>
      <c r="M107" s="120"/>
      <c r="N107" s="120"/>
      <c r="O107" s="120"/>
      <c r="P107" s="90"/>
      <c r="Q107" s="92"/>
      <c r="R107" s="92"/>
      <c r="S107" s="92"/>
      <c r="T107" s="92"/>
      <c r="U107" s="92"/>
      <c r="V107" s="92"/>
    </row>
    <row r="108" spans="1:22" s="127" customFormat="1">
      <c r="A108" s="91"/>
      <c r="B108" s="92"/>
      <c r="C108" s="92"/>
      <c r="D108" s="120"/>
      <c r="E108" s="93"/>
      <c r="F108" s="93"/>
      <c r="G108" s="93"/>
      <c r="H108" s="93"/>
      <c r="I108" s="93"/>
      <c r="J108" s="93"/>
      <c r="K108" s="93"/>
      <c r="L108" s="93"/>
      <c r="M108" s="93"/>
      <c r="N108" s="93"/>
      <c r="O108" s="93"/>
      <c r="P108" s="90"/>
      <c r="Q108" s="92"/>
      <c r="R108" s="92"/>
      <c r="S108" s="92"/>
      <c r="T108" s="92"/>
      <c r="U108" s="92"/>
      <c r="V108" s="92"/>
    </row>
    <row r="109" spans="1:22" s="127" customFormat="1">
      <c r="A109" s="91"/>
      <c r="B109" s="92"/>
      <c r="C109" s="92"/>
      <c r="D109" s="93"/>
      <c r="E109" s="93"/>
      <c r="F109" s="93"/>
      <c r="G109" s="93"/>
      <c r="H109" s="93"/>
      <c r="I109" s="93"/>
      <c r="J109" s="93"/>
      <c r="K109" s="93"/>
      <c r="L109" s="93"/>
      <c r="M109" s="93"/>
      <c r="N109" s="93"/>
      <c r="O109" s="93"/>
      <c r="P109" s="90"/>
      <c r="Q109" s="92"/>
      <c r="R109" s="92"/>
      <c r="S109" s="92"/>
      <c r="T109" s="92"/>
      <c r="U109" s="92"/>
      <c r="V109" s="92"/>
    </row>
    <row r="110" spans="1:22" s="127" customFormat="1">
      <c r="A110" s="91"/>
      <c r="B110" s="92"/>
      <c r="C110" s="92"/>
      <c r="D110" s="93"/>
      <c r="E110" s="93"/>
      <c r="F110" s="93"/>
      <c r="G110" s="93"/>
      <c r="H110" s="93"/>
      <c r="I110" s="93"/>
      <c r="J110" s="93"/>
      <c r="K110" s="93"/>
      <c r="L110" s="93"/>
      <c r="M110" s="93"/>
      <c r="N110" s="93"/>
      <c r="O110" s="93"/>
      <c r="P110" s="90"/>
      <c r="Q110" s="92"/>
      <c r="R110" s="92"/>
      <c r="S110" s="92"/>
      <c r="T110" s="92"/>
      <c r="U110" s="92"/>
      <c r="V110" s="92"/>
    </row>
    <row r="111" spans="1:22" s="127" customFormat="1">
      <c r="A111" s="91"/>
      <c r="B111" s="92"/>
      <c r="C111" s="92"/>
      <c r="D111" s="93"/>
      <c r="E111" s="93"/>
      <c r="F111" s="93"/>
      <c r="G111" s="93"/>
      <c r="H111" s="93"/>
      <c r="I111" s="93"/>
      <c r="J111" s="93"/>
      <c r="K111" s="93"/>
      <c r="L111" s="93"/>
      <c r="M111" s="93"/>
      <c r="N111" s="93"/>
      <c r="O111" s="93"/>
      <c r="P111" s="90"/>
      <c r="Q111" s="92"/>
      <c r="R111" s="92"/>
      <c r="S111" s="92"/>
      <c r="T111" s="92"/>
      <c r="U111" s="92"/>
      <c r="V111" s="92"/>
    </row>
    <row r="112" spans="1:22">
      <c r="A112" s="85"/>
      <c r="B112" s="86"/>
      <c r="C112" s="86"/>
      <c r="D112" s="87"/>
      <c r="E112" s="87"/>
      <c r="F112" s="87"/>
      <c r="G112" s="87"/>
      <c r="H112" s="87"/>
      <c r="I112" s="87"/>
      <c r="J112" s="87"/>
      <c r="K112" s="87"/>
      <c r="L112" s="87"/>
      <c r="M112" s="87"/>
      <c r="N112" s="87"/>
      <c r="O112" s="87"/>
      <c r="P112" s="88"/>
    </row>
    <row r="113" spans="1:16">
      <c r="A113" s="85"/>
      <c r="B113" s="86"/>
      <c r="C113" s="86"/>
      <c r="D113" s="87"/>
      <c r="E113" s="87"/>
      <c r="F113" s="87"/>
      <c r="G113" s="87"/>
      <c r="H113" s="87"/>
      <c r="I113" s="87"/>
      <c r="J113" s="87"/>
      <c r="K113" s="87"/>
      <c r="L113" s="87"/>
      <c r="M113" s="87"/>
      <c r="N113" s="87"/>
      <c r="O113" s="87"/>
      <c r="P113" s="88"/>
    </row>
    <row r="114" spans="1:16">
      <c r="A114" s="85"/>
      <c r="B114" s="86"/>
      <c r="C114" s="86"/>
      <c r="D114" s="87"/>
      <c r="E114" s="87"/>
      <c r="F114" s="87"/>
      <c r="G114" s="87"/>
      <c r="H114" s="87"/>
      <c r="I114" s="87"/>
      <c r="J114" s="87"/>
      <c r="K114" s="87"/>
      <c r="L114" s="87"/>
      <c r="M114" s="87"/>
      <c r="N114" s="87"/>
      <c r="O114" s="87"/>
      <c r="P114" s="88"/>
    </row>
    <row r="115" spans="1:16">
      <c r="A115" s="85"/>
      <c r="B115" s="86"/>
      <c r="C115" s="86"/>
      <c r="D115" s="87"/>
      <c r="E115" s="87"/>
      <c r="F115" s="87"/>
      <c r="G115" s="87"/>
      <c r="H115" s="87"/>
      <c r="I115" s="87"/>
      <c r="J115" s="87"/>
      <c r="K115" s="87"/>
      <c r="L115" s="87"/>
      <c r="M115" s="87"/>
      <c r="N115" s="87"/>
      <c r="O115" s="87"/>
      <c r="P115" s="88"/>
    </row>
    <row r="116" spans="1:16">
      <c r="A116" s="85"/>
      <c r="B116" s="86"/>
      <c r="C116" s="86"/>
      <c r="D116" s="87"/>
      <c r="E116" s="87"/>
      <c r="F116" s="87"/>
      <c r="G116" s="87"/>
      <c r="H116" s="87"/>
      <c r="I116" s="87"/>
      <c r="J116" s="87"/>
      <c r="K116" s="87"/>
      <c r="L116" s="87"/>
      <c r="M116" s="87"/>
      <c r="N116" s="87"/>
      <c r="O116" s="87"/>
      <c r="P116" s="88"/>
    </row>
    <row r="117" spans="1:16">
      <c r="A117" s="85"/>
      <c r="B117" s="86"/>
      <c r="C117" s="86"/>
      <c r="D117" s="87"/>
      <c r="E117" s="87"/>
      <c r="F117" s="87"/>
      <c r="G117" s="87"/>
      <c r="H117" s="87"/>
      <c r="I117" s="87"/>
      <c r="J117" s="87"/>
      <c r="K117" s="87"/>
      <c r="L117" s="87"/>
      <c r="M117" s="87"/>
      <c r="N117" s="87"/>
      <c r="O117" s="87"/>
      <c r="P117" s="88"/>
    </row>
    <row r="118" spans="1:16">
      <c r="A118" s="85"/>
      <c r="B118" s="86"/>
      <c r="C118" s="86"/>
      <c r="D118" s="87"/>
      <c r="E118" s="87"/>
      <c r="F118" s="87"/>
      <c r="G118" s="87"/>
      <c r="H118" s="87"/>
      <c r="I118" s="87"/>
      <c r="J118" s="87"/>
      <c r="K118" s="87"/>
      <c r="L118" s="87"/>
      <c r="M118" s="87"/>
      <c r="N118" s="87"/>
      <c r="O118" s="87"/>
      <c r="P118" s="88"/>
    </row>
    <row r="119" spans="1:16">
      <c r="A119" s="85"/>
      <c r="B119" s="86"/>
      <c r="C119" s="86"/>
      <c r="D119" s="87"/>
      <c r="E119" s="87"/>
      <c r="F119" s="87"/>
      <c r="G119" s="87"/>
      <c r="H119" s="87"/>
      <c r="I119" s="87"/>
      <c r="J119" s="87"/>
      <c r="K119" s="87"/>
      <c r="L119" s="87"/>
      <c r="M119" s="87"/>
      <c r="N119" s="87"/>
      <c r="O119" s="87"/>
      <c r="P119" s="88"/>
    </row>
    <row r="120" spans="1:16">
      <c r="A120" s="85"/>
      <c r="B120" s="86"/>
      <c r="C120" s="86"/>
      <c r="D120" s="87"/>
      <c r="E120" s="87"/>
      <c r="F120" s="87"/>
      <c r="G120" s="87"/>
      <c r="H120" s="87"/>
      <c r="I120" s="87"/>
      <c r="J120" s="87"/>
      <c r="K120" s="87"/>
      <c r="L120" s="87"/>
      <c r="M120" s="87"/>
      <c r="N120" s="87"/>
      <c r="O120" s="87"/>
      <c r="P120" s="88"/>
    </row>
    <row r="121" spans="1:16">
      <c r="A121" s="85"/>
      <c r="B121" s="86"/>
      <c r="C121" s="86"/>
      <c r="D121" s="87"/>
      <c r="E121" s="87"/>
      <c r="F121" s="87"/>
      <c r="G121" s="87"/>
      <c r="H121" s="87"/>
      <c r="I121" s="87"/>
      <c r="J121" s="87"/>
      <c r="K121" s="87"/>
      <c r="L121" s="87"/>
      <c r="M121" s="87"/>
      <c r="N121" s="87"/>
      <c r="O121" s="87"/>
      <c r="P121" s="88"/>
    </row>
    <row r="122" spans="1:16">
      <c r="A122" s="85"/>
      <c r="B122" s="86"/>
      <c r="C122" s="86"/>
      <c r="D122" s="87"/>
      <c r="E122" s="87"/>
      <c r="F122" s="87"/>
      <c r="G122" s="87"/>
      <c r="H122" s="87"/>
      <c r="I122" s="87"/>
      <c r="J122" s="87"/>
      <c r="K122" s="87"/>
      <c r="L122" s="87"/>
      <c r="M122" s="87"/>
      <c r="N122" s="87"/>
      <c r="O122" s="87"/>
      <c r="P122" s="88"/>
    </row>
    <row r="123" spans="1:16">
      <c r="A123" s="85"/>
      <c r="B123" s="86"/>
      <c r="C123" s="86"/>
      <c r="D123" s="87"/>
      <c r="E123" s="87"/>
      <c r="F123" s="87"/>
      <c r="G123" s="87"/>
      <c r="H123" s="87"/>
      <c r="I123" s="87"/>
      <c r="J123" s="87"/>
      <c r="K123" s="87"/>
      <c r="L123" s="87"/>
      <c r="M123" s="87"/>
      <c r="N123" s="87"/>
      <c r="O123" s="87"/>
      <c r="P123" s="88"/>
    </row>
    <row r="124" spans="1:16">
      <c r="A124" s="85"/>
      <c r="B124" s="86"/>
      <c r="C124" s="86"/>
      <c r="D124" s="87"/>
      <c r="E124" s="87"/>
      <c r="F124" s="87"/>
      <c r="G124" s="87"/>
      <c r="H124" s="87"/>
      <c r="I124" s="87"/>
      <c r="J124" s="87"/>
      <c r="K124" s="87"/>
      <c r="L124" s="87"/>
      <c r="M124" s="87"/>
      <c r="N124" s="87"/>
      <c r="O124" s="87"/>
      <c r="P124" s="88"/>
    </row>
    <row r="125" spans="1:16">
      <c r="A125" s="85"/>
      <c r="B125" s="86"/>
      <c r="C125" s="86"/>
      <c r="D125" s="87"/>
      <c r="E125" s="87"/>
      <c r="F125" s="87"/>
      <c r="G125" s="87"/>
      <c r="H125" s="87"/>
      <c r="I125" s="87"/>
      <c r="J125" s="87"/>
      <c r="K125" s="87"/>
      <c r="L125" s="87"/>
      <c r="M125" s="87"/>
      <c r="N125" s="87"/>
      <c r="O125" s="87"/>
      <c r="P125" s="88"/>
    </row>
    <row r="126" spans="1:16">
      <c r="A126" s="85"/>
      <c r="B126" s="86"/>
      <c r="C126" s="86"/>
      <c r="D126" s="87"/>
      <c r="E126" s="87"/>
      <c r="F126" s="87"/>
      <c r="G126" s="87"/>
      <c r="H126" s="87"/>
      <c r="I126" s="87"/>
      <c r="J126" s="87"/>
      <c r="K126" s="87"/>
      <c r="L126" s="87"/>
      <c r="M126" s="87"/>
      <c r="N126" s="87"/>
      <c r="O126" s="87"/>
      <c r="P126" s="88"/>
    </row>
    <row r="127" spans="1:16">
      <c r="A127" s="85"/>
      <c r="B127" s="86"/>
      <c r="C127" s="86"/>
      <c r="D127" s="87"/>
      <c r="E127" s="87"/>
      <c r="F127" s="87"/>
      <c r="G127" s="87"/>
      <c r="H127" s="87"/>
      <c r="I127" s="87"/>
      <c r="J127" s="87"/>
      <c r="K127" s="87"/>
      <c r="L127" s="87"/>
      <c r="M127" s="87"/>
      <c r="N127" s="87"/>
      <c r="O127" s="87"/>
      <c r="P127" s="88"/>
    </row>
    <row r="128" spans="1:16">
      <c r="A128" s="85"/>
      <c r="B128" s="86"/>
      <c r="C128" s="86"/>
      <c r="D128" s="87"/>
      <c r="E128" s="87"/>
      <c r="F128" s="87"/>
      <c r="G128" s="87"/>
      <c r="H128" s="87"/>
      <c r="I128" s="87"/>
      <c r="J128" s="87"/>
      <c r="K128" s="87"/>
      <c r="L128" s="87"/>
      <c r="M128" s="87"/>
      <c r="N128" s="87"/>
      <c r="O128" s="87"/>
      <c r="P128" s="88"/>
    </row>
    <row r="129" spans="1:16">
      <c r="A129" s="85"/>
      <c r="B129" s="86"/>
      <c r="C129" s="86"/>
      <c r="D129" s="87"/>
      <c r="E129" s="87"/>
      <c r="F129" s="87"/>
      <c r="G129" s="87"/>
      <c r="H129" s="87"/>
      <c r="I129" s="87"/>
      <c r="J129" s="87"/>
      <c r="K129" s="87"/>
      <c r="L129" s="87"/>
      <c r="M129" s="87"/>
      <c r="N129" s="87"/>
      <c r="O129" s="87"/>
      <c r="P129" s="88"/>
    </row>
    <row r="130" spans="1:16">
      <c r="A130" s="85"/>
      <c r="B130" s="86"/>
      <c r="C130" s="86"/>
      <c r="D130" s="87"/>
      <c r="E130" s="87"/>
      <c r="F130" s="87"/>
      <c r="G130" s="87"/>
      <c r="H130" s="87"/>
      <c r="I130" s="87"/>
      <c r="J130" s="87"/>
      <c r="K130" s="87"/>
      <c r="L130" s="87"/>
      <c r="M130" s="87"/>
      <c r="N130" s="87"/>
      <c r="O130" s="87"/>
      <c r="P130" s="88"/>
    </row>
    <row r="131" spans="1:16">
      <c r="A131" s="85"/>
      <c r="B131" s="86"/>
      <c r="C131" s="86"/>
      <c r="D131" s="87"/>
      <c r="E131" s="87"/>
      <c r="F131" s="87"/>
      <c r="G131" s="87"/>
      <c r="H131" s="87"/>
      <c r="I131" s="87"/>
      <c r="J131" s="87"/>
      <c r="K131" s="87"/>
      <c r="L131" s="87"/>
      <c r="M131" s="87"/>
      <c r="N131" s="87"/>
      <c r="O131" s="87"/>
      <c r="P131" s="88"/>
    </row>
    <row r="132" spans="1:16">
      <c r="A132" s="85"/>
      <c r="B132" s="86"/>
      <c r="C132" s="86"/>
      <c r="D132" s="87"/>
      <c r="E132" s="87"/>
      <c r="F132" s="87"/>
      <c r="G132" s="87"/>
      <c r="H132" s="87"/>
      <c r="I132" s="87"/>
      <c r="J132" s="87"/>
      <c r="K132" s="87"/>
      <c r="L132" s="87"/>
      <c r="M132" s="87"/>
      <c r="N132" s="87"/>
      <c r="O132" s="87"/>
      <c r="P132" s="88"/>
    </row>
    <row r="133" spans="1:16">
      <c r="A133" s="85"/>
      <c r="B133" s="86"/>
      <c r="C133" s="86"/>
      <c r="D133" s="87"/>
      <c r="E133" s="87"/>
      <c r="F133" s="87"/>
      <c r="G133" s="87"/>
      <c r="H133" s="87"/>
      <c r="I133" s="87"/>
      <c r="J133" s="87"/>
      <c r="K133" s="87"/>
      <c r="L133" s="87"/>
      <c r="M133" s="87"/>
      <c r="N133" s="87"/>
      <c r="O133" s="87"/>
      <c r="P133" s="88"/>
    </row>
    <row r="134" spans="1:16">
      <c r="A134" s="85"/>
      <c r="B134" s="86"/>
      <c r="C134" s="86"/>
      <c r="D134" s="87"/>
      <c r="E134" s="87"/>
      <c r="F134" s="87"/>
      <c r="G134" s="87"/>
      <c r="H134" s="87"/>
      <c r="I134" s="87"/>
      <c r="J134" s="87"/>
      <c r="K134" s="87"/>
      <c r="L134" s="87"/>
      <c r="M134" s="87"/>
      <c r="N134" s="87"/>
      <c r="O134" s="87"/>
      <c r="P134" s="88"/>
    </row>
    <row r="135" spans="1:16">
      <c r="A135" s="85"/>
      <c r="B135" s="86"/>
      <c r="C135" s="86"/>
      <c r="D135" s="87"/>
      <c r="E135" s="87"/>
      <c r="F135" s="87"/>
      <c r="G135" s="87"/>
      <c r="H135" s="87"/>
      <c r="I135" s="87"/>
      <c r="J135" s="87"/>
      <c r="K135" s="87"/>
      <c r="L135" s="87"/>
      <c r="M135" s="87"/>
      <c r="N135" s="87"/>
      <c r="O135" s="87"/>
      <c r="P135" s="88"/>
    </row>
    <row r="136" spans="1:16">
      <c r="A136" s="85"/>
      <c r="B136" s="86"/>
      <c r="C136" s="86"/>
      <c r="D136" s="87"/>
      <c r="E136" s="87"/>
      <c r="F136" s="87"/>
      <c r="G136" s="87"/>
      <c r="H136" s="87"/>
      <c r="I136" s="87"/>
      <c r="J136" s="87"/>
      <c r="K136" s="87"/>
      <c r="L136" s="87"/>
      <c r="M136" s="87"/>
      <c r="N136" s="87"/>
      <c r="O136" s="87"/>
      <c r="P136" s="88"/>
    </row>
    <row r="137" spans="1:16">
      <c r="A137" s="85"/>
      <c r="B137" s="86"/>
      <c r="C137" s="86"/>
      <c r="D137" s="87"/>
      <c r="E137" s="87"/>
      <c r="F137" s="87"/>
      <c r="G137" s="87"/>
      <c r="H137" s="87"/>
      <c r="I137" s="87"/>
      <c r="J137" s="87"/>
      <c r="K137" s="87"/>
      <c r="L137" s="87"/>
      <c r="M137" s="87"/>
      <c r="N137" s="87"/>
      <c r="O137" s="87"/>
      <c r="P137" s="88"/>
    </row>
    <row r="138" spans="1:16">
      <c r="A138" s="85"/>
      <c r="B138" s="86"/>
      <c r="C138" s="86"/>
      <c r="D138" s="87"/>
      <c r="E138" s="87"/>
      <c r="F138" s="87"/>
      <c r="G138" s="87"/>
      <c r="H138" s="87"/>
      <c r="I138" s="87"/>
      <c r="J138" s="87"/>
      <c r="K138" s="87"/>
      <c r="L138" s="87"/>
      <c r="M138" s="87"/>
      <c r="N138" s="87"/>
      <c r="O138" s="87"/>
      <c r="P138" s="88"/>
    </row>
    <row r="139" spans="1:16">
      <c r="A139" s="85"/>
      <c r="B139" s="86"/>
      <c r="C139" s="86"/>
      <c r="D139" s="87"/>
      <c r="E139" s="87"/>
      <c r="F139" s="87"/>
      <c r="G139" s="87"/>
      <c r="H139" s="87"/>
      <c r="I139" s="87"/>
      <c r="J139" s="87"/>
      <c r="K139" s="87"/>
      <c r="L139" s="87"/>
      <c r="M139" s="87"/>
      <c r="N139" s="87"/>
      <c r="O139" s="87"/>
      <c r="P139" s="88"/>
    </row>
    <row r="140" spans="1:16">
      <c r="A140" s="85"/>
      <c r="B140" s="86"/>
      <c r="C140" s="86"/>
      <c r="D140" s="87"/>
      <c r="E140" s="87"/>
      <c r="F140" s="87"/>
      <c r="G140" s="87"/>
      <c r="H140" s="87"/>
      <c r="I140" s="87"/>
      <c r="J140" s="87"/>
      <c r="K140" s="87"/>
      <c r="L140" s="87"/>
      <c r="M140" s="87"/>
      <c r="N140" s="87"/>
      <c r="O140" s="87"/>
      <c r="P140" s="88"/>
    </row>
    <row r="141" spans="1:16">
      <c r="A141" s="85"/>
      <c r="B141" s="86"/>
      <c r="C141" s="86"/>
      <c r="D141" s="87"/>
      <c r="E141" s="87"/>
      <c r="F141" s="87"/>
      <c r="G141" s="87"/>
      <c r="H141" s="87"/>
      <c r="I141" s="87"/>
      <c r="J141" s="87"/>
      <c r="K141" s="87"/>
      <c r="L141" s="87"/>
      <c r="M141" s="87"/>
      <c r="N141" s="87"/>
      <c r="O141" s="87"/>
      <c r="P141" s="88"/>
    </row>
    <row r="142" spans="1:16">
      <c r="A142" s="85"/>
      <c r="B142" s="86"/>
      <c r="C142" s="86"/>
      <c r="D142" s="87"/>
      <c r="E142" s="87"/>
      <c r="F142" s="87"/>
      <c r="G142" s="87"/>
      <c r="H142" s="87"/>
      <c r="I142" s="87"/>
      <c r="J142" s="87"/>
      <c r="K142" s="87"/>
      <c r="L142" s="87"/>
      <c r="M142" s="87"/>
      <c r="N142" s="87"/>
      <c r="O142" s="87"/>
      <c r="P142" s="88"/>
    </row>
    <row r="143" spans="1:16">
      <c r="A143" s="85"/>
      <c r="B143" s="86"/>
      <c r="C143" s="86"/>
      <c r="D143" s="87"/>
      <c r="E143" s="87"/>
      <c r="F143" s="87"/>
      <c r="G143" s="87"/>
      <c r="H143" s="87"/>
      <c r="I143" s="87"/>
      <c r="J143" s="87"/>
      <c r="K143" s="87"/>
      <c r="L143" s="87"/>
      <c r="M143" s="87"/>
      <c r="N143" s="87"/>
      <c r="O143" s="87"/>
      <c r="P143" s="88"/>
    </row>
    <row r="144" spans="1:16">
      <c r="A144" s="85"/>
      <c r="B144" s="86"/>
      <c r="C144" s="86"/>
      <c r="D144" s="87"/>
      <c r="E144" s="87"/>
      <c r="F144" s="87"/>
      <c r="G144" s="87"/>
      <c r="H144" s="87"/>
      <c r="I144" s="87"/>
      <c r="J144" s="87"/>
      <c r="K144" s="87"/>
      <c r="L144" s="87"/>
      <c r="M144" s="87"/>
      <c r="N144" s="87"/>
      <c r="O144" s="87"/>
      <c r="P144" s="88"/>
    </row>
    <row r="145" spans="1:16">
      <c r="A145" s="85"/>
      <c r="B145" s="86"/>
      <c r="C145" s="86"/>
      <c r="D145" s="87"/>
      <c r="E145" s="87"/>
      <c r="F145" s="87"/>
      <c r="G145" s="87"/>
      <c r="H145" s="87"/>
      <c r="I145" s="87"/>
      <c r="J145" s="87"/>
      <c r="K145" s="87"/>
      <c r="L145" s="87"/>
      <c r="M145" s="87"/>
      <c r="N145" s="87"/>
      <c r="O145" s="87"/>
      <c r="P145" s="88"/>
    </row>
    <row r="146" spans="1:16">
      <c r="A146" s="85"/>
      <c r="B146" s="86"/>
      <c r="C146" s="86"/>
      <c r="D146" s="87"/>
      <c r="E146" s="87"/>
      <c r="F146" s="87"/>
      <c r="G146" s="87"/>
      <c r="H146" s="87"/>
      <c r="I146" s="87"/>
      <c r="J146" s="87"/>
      <c r="K146" s="87"/>
      <c r="L146" s="87"/>
      <c r="M146" s="87"/>
      <c r="N146" s="87"/>
      <c r="O146" s="87"/>
      <c r="P146" s="88"/>
    </row>
    <row r="147" spans="1:16">
      <c r="A147" s="85"/>
      <c r="B147" s="86"/>
      <c r="C147" s="86"/>
      <c r="D147" s="87"/>
      <c r="E147" s="87"/>
      <c r="F147" s="87"/>
      <c r="G147" s="87"/>
      <c r="H147" s="87"/>
      <c r="I147" s="87"/>
      <c r="J147" s="87"/>
      <c r="K147" s="87"/>
      <c r="L147" s="87"/>
      <c r="M147" s="87"/>
      <c r="N147" s="87"/>
      <c r="O147" s="87"/>
      <c r="P147" s="88"/>
    </row>
    <row r="148" spans="1:16">
      <c r="A148" s="85"/>
      <c r="B148" s="86"/>
      <c r="C148" s="86"/>
      <c r="D148" s="87"/>
      <c r="E148" s="87"/>
      <c r="F148" s="87"/>
      <c r="G148" s="87"/>
      <c r="H148" s="87"/>
      <c r="I148" s="87"/>
      <c r="J148" s="87"/>
      <c r="K148" s="87"/>
      <c r="L148" s="87"/>
      <c r="M148" s="87"/>
      <c r="N148" s="87"/>
      <c r="O148" s="87"/>
      <c r="P148" s="88"/>
    </row>
    <row r="149" spans="1:16">
      <c r="A149" s="85"/>
      <c r="B149" s="86"/>
      <c r="C149" s="86"/>
      <c r="D149" s="87"/>
      <c r="E149" s="87"/>
      <c r="F149" s="87"/>
      <c r="G149" s="87"/>
      <c r="H149" s="87"/>
      <c r="I149" s="87"/>
      <c r="J149" s="87"/>
      <c r="K149" s="87"/>
      <c r="L149" s="87"/>
      <c r="M149" s="87"/>
      <c r="N149" s="87"/>
      <c r="O149" s="87"/>
      <c r="P149" s="88"/>
    </row>
    <row r="150" spans="1:16">
      <c r="A150" s="85"/>
      <c r="B150" s="86"/>
      <c r="C150" s="86"/>
      <c r="D150" s="87"/>
      <c r="E150" s="87"/>
      <c r="F150" s="87"/>
      <c r="G150" s="87"/>
      <c r="H150" s="87"/>
      <c r="I150" s="87"/>
      <c r="J150" s="87"/>
      <c r="K150" s="87"/>
      <c r="L150" s="87"/>
      <c r="M150" s="87"/>
      <c r="N150" s="87"/>
      <c r="O150" s="87"/>
      <c r="P150" s="88"/>
    </row>
    <row r="151" spans="1:16">
      <c r="A151" s="85"/>
      <c r="B151" s="86"/>
      <c r="C151" s="86"/>
      <c r="D151" s="87"/>
      <c r="E151" s="87"/>
      <c r="F151" s="87"/>
      <c r="G151" s="87"/>
      <c r="H151" s="87"/>
      <c r="I151" s="87"/>
      <c r="J151" s="87"/>
      <c r="K151" s="87"/>
      <c r="L151" s="87"/>
      <c r="M151" s="87"/>
      <c r="N151" s="87"/>
      <c r="O151" s="87"/>
      <c r="P151" s="88"/>
    </row>
    <row r="152" spans="1:16">
      <c r="A152" s="85"/>
      <c r="B152" s="86"/>
      <c r="C152" s="86"/>
      <c r="D152" s="87"/>
      <c r="E152" s="87"/>
      <c r="F152" s="87"/>
      <c r="G152" s="87"/>
      <c r="H152" s="87"/>
      <c r="I152" s="87"/>
      <c r="J152" s="87"/>
      <c r="K152" s="87"/>
      <c r="L152" s="87"/>
      <c r="M152" s="87"/>
      <c r="N152" s="87"/>
      <c r="O152" s="87"/>
      <c r="P152" s="88"/>
    </row>
    <row r="153" spans="1:16">
      <c r="A153" s="85"/>
      <c r="B153" s="86"/>
      <c r="C153" s="86"/>
      <c r="D153" s="87"/>
      <c r="E153" s="87"/>
      <c r="F153" s="87"/>
      <c r="G153" s="87"/>
      <c r="H153" s="87"/>
      <c r="I153" s="87"/>
      <c r="J153" s="87"/>
      <c r="K153" s="87"/>
      <c r="L153" s="87"/>
      <c r="M153" s="87"/>
      <c r="N153" s="87"/>
      <c r="O153" s="87"/>
      <c r="P153" s="88"/>
    </row>
    <row r="154" spans="1:16">
      <c r="A154" s="85"/>
      <c r="B154" s="86"/>
      <c r="C154" s="86"/>
      <c r="D154" s="87"/>
      <c r="E154" s="87"/>
      <c r="F154" s="87"/>
      <c r="G154" s="87"/>
      <c r="H154" s="87"/>
      <c r="I154" s="87"/>
      <c r="J154" s="87"/>
      <c r="K154" s="87"/>
      <c r="L154" s="87"/>
      <c r="M154" s="87"/>
      <c r="N154" s="87"/>
      <c r="O154" s="87"/>
      <c r="P154" s="88"/>
    </row>
    <row r="155" spans="1:16">
      <c r="A155" s="85"/>
      <c r="B155" s="86"/>
      <c r="C155" s="86"/>
      <c r="D155" s="87"/>
      <c r="E155" s="87"/>
      <c r="F155" s="87"/>
      <c r="G155" s="87"/>
      <c r="H155" s="87"/>
      <c r="I155" s="87"/>
      <c r="J155" s="87"/>
      <c r="K155" s="87"/>
      <c r="L155" s="87"/>
      <c r="M155" s="87"/>
      <c r="N155" s="87"/>
      <c r="O155" s="87"/>
      <c r="P155" s="88"/>
    </row>
    <row r="156" spans="1:16">
      <c r="A156" s="85"/>
      <c r="B156" s="86"/>
      <c r="C156" s="86"/>
      <c r="D156" s="87"/>
      <c r="E156" s="87"/>
      <c r="F156" s="87"/>
      <c r="G156" s="87"/>
      <c r="H156" s="87"/>
      <c r="I156" s="87"/>
      <c r="J156" s="87"/>
      <c r="K156" s="87"/>
      <c r="L156" s="87"/>
      <c r="M156" s="87"/>
      <c r="N156" s="87"/>
      <c r="O156" s="87"/>
      <c r="P156" s="88"/>
    </row>
    <row r="157" spans="1:16">
      <c r="A157" s="85"/>
      <c r="B157" s="86"/>
      <c r="C157" s="86"/>
      <c r="D157" s="87"/>
      <c r="E157" s="87"/>
      <c r="F157" s="87"/>
      <c r="G157" s="87"/>
      <c r="H157" s="87"/>
      <c r="I157" s="87"/>
      <c r="J157" s="87"/>
      <c r="K157" s="87"/>
      <c r="L157" s="87"/>
      <c r="M157" s="87"/>
      <c r="N157" s="87"/>
      <c r="O157" s="87"/>
      <c r="P157" s="88"/>
    </row>
    <row r="158" spans="1:16">
      <c r="A158" s="85"/>
      <c r="B158" s="86"/>
      <c r="C158" s="86"/>
      <c r="D158" s="87"/>
      <c r="E158" s="87"/>
      <c r="F158" s="87"/>
      <c r="G158" s="87"/>
      <c r="H158" s="87"/>
      <c r="I158" s="87"/>
      <c r="J158" s="87"/>
      <c r="K158" s="87"/>
      <c r="L158" s="87"/>
      <c r="M158" s="87"/>
      <c r="N158" s="87"/>
      <c r="O158" s="87"/>
      <c r="P158" s="88"/>
    </row>
    <row r="159" spans="1:16">
      <c r="A159" s="85"/>
      <c r="B159" s="86"/>
      <c r="C159" s="86"/>
      <c r="D159" s="87"/>
      <c r="E159" s="87"/>
      <c r="F159" s="87"/>
      <c r="G159" s="87"/>
      <c r="H159" s="87"/>
      <c r="I159" s="87"/>
      <c r="J159" s="87"/>
      <c r="K159" s="87"/>
      <c r="L159" s="87"/>
      <c r="M159" s="87"/>
      <c r="N159" s="87"/>
      <c r="O159" s="87"/>
      <c r="P159" s="88"/>
    </row>
    <row r="160" spans="1:16">
      <c r="A160" s="85"/>
      <c r="B160" s="86"/>
      <c r="C160" s="86"/>
      <c r="D160" s="87"/>
      <c r="E160" s="87"/>
      <c r="F160" s="87"/>
      <c r="G160" s="87"/>
      <c r="H160" s="87"/>
      <c r="I160" s="87"/>
      <c r="J160" s="87"/>
      <c r="K160" s="87"/>
      <c r="L160" s="87"/>
      <c r="M160" s="87"/>
      <c r="N160" s="87"/>
      <c r="O160" s="87"/>
      <c r="P160" s="88"/>
    </row>
    <row r="161" spans="1:16">
      <c r="A161" s="85"/>
      <c r="B161" s="86"/>
      <c r="C161" s="86"/>
      <c r="D161" s="87"/>
      <c r="E161" s="87"/>
      <c r="F161" s="87"/>
      <c r="G161" s="87"/>
      <c r="H161" s="87"/>
      <c r="I161" s="87"/>
      <c r="J161" s="87"/>
      <c r="K161" s="87"/>
      <c r="L161" s="87"/>
      <c r="M161" s="87"/>
      <c r="N161" s="87"/>
      <c r="O161" s="87"/>
      <c r="P161" s="88"/>
    </row>
    <row r="162" spans="1:16">
      <c r="A162" s="85"/>
      <c r="B162" s="86"/>
      <c r="C162" s="86"/>
      <c r="D162" s="87"/>
      <c r="E162" s="87"/>
      <c r="F162" s="87"/>
      <c r="G162" s="87"/>
      <c r="H162" s="87"/>
      <c r="I162" s="87"/>
      <c r="J162" s="87"/>
      <c r="K162" s="87"/>
      <c r="L162" s="87"/>
      <c r="M162" s="87"/>
      <c r="N162" s="87"/>
      <c r="O162" s="87"/>
      <c r="P162" s="88"/>
    </row>
    <row r="163" spans="1:16">
      <c r="A163" s="85"/>
      <c r="B163" s="86"/>
      <c r="C163" s="86"/>
      <c r="D163" s="87"/>
      <c r="E163" s="87"/>
      <c r="F163" s="87"/>
      <c r="G163" s="87"/>
      <c r="H163" s="87"/>
      <c r="I163" s="87"/>
      <c r="J163" s="87"/>
      <c r="K163" s="87"/>
      <c r="L163" s="87"/>
      <c r="M163" s="87"/>
      <c r="N163" s="87"/>
      <c r="O163" s="87"/>
      <c r="P163" s="88"/>
    </row>
    <row r="164" spans="1:16">
      <c r="A164" s="85"/>
      <c r="B164" s="86"/>
      <c r="C164" s="86"/>
      <c r="D164" s="87"/>
      <c r="E164" s="87"/>
      <c r="F164" s="87"/>
      <c r="G164" s="87"/>
      <c r="H164" s="87"/>
      <c r="I164" s="87"/>
      <c r="J164" s="87"/>
      <c r="K164" s="87"/>
      <c r="L164" s="87"/>
      <c r="M164" s="87"/>
      <c r="N164" s="87"/>
      <c r="O164" s="87"/>
      <c r="P164" s="88"/>
    </row>
    <row r="165" spans="1:16">
      <c r="A165" s="85"/>
      <c r="B165" s="86"/>
      <c r="C165" s="86"/>
      <c r="D165" s="87"/>
      <c r="E165" s="87"/>
      <c r="F165" s="87"/>
      <c r="G165" s="87"/>
      <c r="H165" s="87"/>
      <c r="I165" s="87"/>
      <c r="J165" s="87"/>
      <c r="K165" s="87"/>
      <c r="L165" s="87"/>
      <c r="M165" s="87"/>
      <c r="N165" s="87"/>
      <c r="O165" s="87"/>
      <c r="P165" s="88"/>
    </row>
    <row r="166" spans="1:16">
      <c r="A166" s="85"/>
      <c r="B166" s="86"/>
      <c r="C166" s="86"/>
      <c r="D166" s="87"/>
      <c r="E166" s="87"/>
      <c r="F166" s="87"/>
      <c r="G166" s="87"/>
      <c r="H166" s="87"/>
      <c r="I166" s="87"/>
      <c r="J166" s="87"/>
      <c r="K166" s="87"/>
      <c r="L166" s="87"/>
      <c r="M166" s="87"/>
      <c r="N166" s="87"/>
      <c r="O166" s="87"/>
      <c r="P166" s="88"/>
    </row>
    <row r="167" spans="1:16">
      <c r="A167" s="85"/>
      <c r="B167" s="86"/>
      <c r="C167" s="86"/>
      <c r="D167" s="87"/>
      <c r="E167" s="87"/>
      <c r="F167" s="87"/>
      <c r="G167" s="87"/>
      <c r="H167" s="87"/>
      <c r="I167" s="87"/>
      <c r="J167" s="87"/>
      <c r="K167" s="87"/>
      <c r="L167" s="87"/>
      <c r="M167" s="87"/>
      <c r="N167" s="87"/>
      <c r="O167" s="87"/>
      <c r="P167" s="88"/>
    </row>
    <row r="168" spans="1:16">
      <c r="A168" s="85"/>
      <c r="B168" s="86"/>
      <c r="C168" s="86"/>
      <c r="D168" s="87"/>
      <c r="E168" s="87"/>
      <c r="F168" s="87"/>
      <c r="G168" s="87"/>
      <c r="H168" s="87"/>
      <c r="I168" s="87"/>
      <c r="J168" s="87"/>
      <c r="K168" s="87"/>
      <c r="L168" s="87"/>
      <c r="M168" s="87"/>
      <c r="N168" s="87"/>
      <c r="O168" s="87"/>
      <c r="P168" s="88"/>
    </row>
    <row r="169" spans="1:16">
      <c r="A169" s="85"/>
      <c r="B169" s="86"/>
      <c r="C169" s="86"/>
      <c r="D169" s="87"/>
      <c r="E169" s="87"/>
      <c r="F169" s="87"/>
      <c r="G169" s="87"/>
      <c r="H169" s="87"/>
      <c r="I169" s="87"/>
      <c r="J169" s="87"/>
      <c r="K169" s="87"/>
      <c r="L169" s="87"/>
      <c r="M169" s="87"/>
      <c r="N169" s="87"/>
      <c r="O169" s="87"/>
      <c r="P169" s="88"/>
    </row>
    <row r="170" spans="1:16">
      <c r="A170" s="85"/>
      <c r="B170" s="86"/>
      <c r="C170" s="86"/>
      <c r="D170" s="87"/>
      <c r="E170" s="87"/>
      <c r="F170" s="87"/>
      <c r="G170" s="87"/>
      <c r="H170" s="87"/>
      <c r="I170" s="87"/>
      <c r="J170" s="87"/>
      <c r="K170" s="87"/>
      <c r="L170" s="87"/>
      <c r="M170" s="87"/>
      <c r="N170" s="87"/>
      <c r="O170" s="87"/>
      <c r="P170" s="88"/>
    </row>
    <row r="171" spans="1:16">
      <c r="A171" s="85"/>
      <c r="B171" s="86"/>
      <c r="C171" s="86"/>
      <c r="D171" s="87"/>
      <c r="E171" s="87"/>
      <c r="F171" s="87"/>
      <c r="G171" s="87"/>
      <c r="H171" s="87"/>
      <c r="I171" s="87"/>
      <c r="J171" s="87"/>
      <c r="K171" s="87"/>
      <c r="L171" s="87"/>
      <c r="M171" s="87"/>
      <c r="N171" s="87"/>
      <c r="O171" s="87"/>
      <c r="P171" s="88"/>
    </row>
    <row r="172" spans="1:16">
      <c r="A172" s="85"/>
      <c r="B172" s="86"/>
      <c r="C172" s="86"/>
      <c r="D172" s="87"/>
      <c r="E172" s="87"/>
      <c r="F172" s="87"/>
      <c r="G172" s="87"/>
      <c r="H172" s="87"/>
      <c r="I172" s="87"/>
      <c r="J172" s="87"/>
      <c r="K172" s="87"/>
      <c r="L172" s="87"/>
      <c r="M172" s="87"/>
      <c r="N172" s="87"/>
      <c r="O172" s="87"/>
      <c r="P172" s="88"/>
    </row>
    <row r="173" spans="1:16">
      <c r="A173" s="85"/>
      <c r="B173" s="86"/>
      <c r="C173" s="86"/>
      <c r="D173" s="87"/>
      <c r="E173" s="87"/>
      <c r="F173" s="87"/>
      <c r="G173" s="87"/>
      <c r="H173" s="87"/>
      <c r="I173" s="87"/>
      <c r="J173" s="87"/>
      <c r="K173" s="87"/>
      <c r="L173" s="87"/>
      <c r="M173" s="87"/>
      <c r="N173" s="87"/>
      <c r="O173" s="87"/>
      <c r="P173" s="88"/>
    </row>
    <row r="174" spans="1:16">
      <c r="A174" s="85"/>
      <c r="B174" s="86"/>
      <c r="C174" s="86"/>
      <c r="D174" s="87"/>
      <c r="E174" s="87"/>
      <c r="F174" s="87"/>
      <c r="G174" s="87"/>
      <c r="H174" s="87"/>
      <c r="I174" s="87"/>
      <c r="J174" s="87"/>
      <c r="K174" s="87"/>
      <c r="L174" s="87"/>
      <c r="M174" s="87"/>
      <c r="N174" s="87"/>
      <c r="O174" s="87"/>
      <c r="P174" s="88"/>
    </row>
    <row r="175" spans="1:16">
      <c r="A175" s="85"/>
      <c r="B175" s="86"/>
      <c r="C175" s="86"/>
      <c r="D175" s="87"/>
      <c r="E175" s="87"/>
      <c r="F175" s="87"/>
      <c r="G175" s="87"/>
      <c r="H175" s="87"/>
      <c r="I175" s="87"/>
      <c r="J175" s="87"/>
      <c r="K175" s="87"/>
      <c r="L175" s="87"/>
      <c r="M175" s="87"/>
      <c r="N175" s="87"/>
      <c r="O175" s="87"/>
      <c r="P175" s="88"/>
    </row>
    <row r="176" spans="1:16">
      <c r="A176" s="85"/>
      <c r="B176" s="86"/>
      <c r="C176" s="86"/>
      <c r="D176" s="87"/>
      <c r="E176" s="87"/>
      <c r="F176" s="87"/>
      <c r="G176" s="87"/>
      <c r="H176" s="87"/>
      <c r="I176" s="87"/>
      <c r="J176" s="87"/>
      <c r="K176" s="87"/>
      <c r="L176" s="87"/>
      <c r="M176" s="87"/>
      <c r="N176" s="87"/>
      <c r="O176" s="87"/>
      <c r="P176" s="88"/>
    </row>
    <row r="177" spans="1:16">
      <c r="A177" s="85"/>
      <c r="B177" s="86"/>
      <c r="C177" s="86"/>
      <c r="D177" s="87"/>
      <c r="E177" s="87"/>
      <c r="F177" s="87"/>
      <c r="G177" s="87"/>
      <c r="H177" s="87"/>
      <c r="I177" s="87"/>
      <c r="J177" s="87"/>
      <c r="K177" s="87"/>
      <c r="L177" s="87"/>
      <c r="M177" s="87"/>
      <c r="N177" s="87"/>
      <c r="O177" s="87"/>
      <c r="P177" s="88"/>
    </row>
    <row r="178" spans="1:16">
      <c r="A178" s="85"/>
      <c r="B178" s="86"/>
      <c r="C178" s="86"/>
      <c r="D178" s="87"/>
      <c r="E178" s="87"/>
      <c r="F178" s="87"/>
      <c r="G178" s="87"/>
      <c r="H178" s="87"/>
      <c r="I178" s="87"/>
      <c r="J178" s="87"/>
      <c r="K178" s="87"/>
      <c r="L178" s="87"/>
      <c r="M178" s="87"/>
      <c r="N178" s="87"/>
      <c r="O178" s="87"/>
      <c r="P178" s="88"/>
    </row>
    <row r="179" spans="1:16">
      <c r="A179" s="85"/>
      <c r="B179" s="86"/>
      <c r="C179" s="86"/>
      <c r="D179" s="87"/>
      <c r="E179" s="87"/>
      <c r="F179" s="87"/>
      <c r="G179" s="87"/>
      <c r="H179" s="87"/>
      <c r="I179" s="87"/>
      <c r="J179" s="87"/>
      <c r="K179" s="87"/>
      <c r="L179" s="87"/>
      <c r="M179" s="87"/>
      <c r="N179" s="87"/>
      <c r="O179" s="87"/>
      <c r="P179" s="88"/>
    </row>
    <row r="180" spans="1:16">
      <c r="A180" s="85"/>
      <c r="B180" s="86"/>
      <c r="C180" s="86"/>
      <c r="D180" s="87"/>
      <c r="E180" s="87"/>
      <c r="F180" s="87"/>
      <c r="G180" s="87"/>
      <c r="H180" s="87"/>
      <c r="I180" s="87"/>
      <c r="J180" s="87"/>
      <c r="K180" s="87"/>
      <c r="L180" s="87"/>
      <c r="M180" s="87"/>
      <c r="N180" s="87"/>
      <c r="O180" s="87"/>
      <c r="P180" s="88"/>
    </row>
    <row r="181" spans="1:16">
      <c r="A181" s="85"/>
      <c r="B181" s="86"/>
      <c r="C181" s="86"/>
      <c r="D181" s="87"/>
      <c r="E181" s="87"/>
      <c r="F181" s="87"/>
      <c r="G181" s="87"/>
      <c r="H181" s="87"/>
      <c r="I181" s="87"/>
      <c r="J181" s="87"/>
      <c r="K181" s="87"/>
      <c r="L181" s="87"/>
      <c r="M181" s="87"/>
      <c r="N181" s="87"/>
      <c r="O181" s="87"/>
      <c r="P181" s="88"/>
    </row>
    <row r="182" spans="1:16">
      <c r="A182" s="85"/>
      <c r="B182" s="86"/>
      <c r="C182" s="86"/>
      <c r="D182" s="87"/>
      <c r="E182" s="87"/>
      <c r="F182" s="87"/>
      <c r="G182" s="87"/>
      <c r="H182" s="87"/>
      <c r="I182" s="87"/>
      <c r="J182" s="87"/>
      <c r="K182" s="87"/>
      <c r="L182" s="87"/>
      <c r="M182" s="87"/>
      <c r="N182" s="87"/>
      <c r="O182" s="87"/>
      <c r="P182" s="88"/>
    </row>
    <row r="183" spans="1:16">
      <c r="A183" s="85"/>
      <c r="B183" s="86"/>
      <c r="C183" s="86"/>
      <c r="D183" s="87"/>
      <c r="E183" s="87"/>
      <c r="F183" s="87"/>
      <c r="G183" s="87"/>
      <c r="H183" s="87"/>
      <c r="I183" s="87"/>
      <c r="J183" s="87"/>
      <c r="K183" s="87"/>
      <c r="L183" s="87"/>
      <c r="M183" s="87"/>
      <c r="N183" s="87"/>
      <c r="O183" s="87"/>
      <c r="P183" s="88"/>
    </row>
    <row r="184" spans="1:16">
      <c r="A184" s="85"/>
      <c r="B184" s="86"/>
      <c r="C184" s="86"/>
      <c r="D184" s="87"/>
      <c r="E184" s="87"/>
      <c r="F184" s="87"/>
      <c r="G184" s="87"/>
      <c r="H184" s="87"/>
      <c r="I184" s="87"/>
      <c r="J184" s="87"/>
      <c r="K184" s="87"/>
      <c r="L184" s="87"/>
      <c r="M184" s="87"/>
      <c r="N184" s="87"/>
      <c r="O184" s="87"/>
      <c r="P184" s="88"/>
    </row>
    <row r="185" spans="1:16">
      <c r="A185" s="85"/>
      <c r="B185" s="86"/>
      <c r="C185" s="86"/>
      <c r="D185" s="87"/>
      <c r="E185" s="87"/>
      <c r="F185" s="87"/>
      <c r="G185" s="87"/>
      <c r="H185" s="87"/>
      <c r="I185" s="87"/>
      <c r="J185" s="87"/>
      <c r="K185" s="87"/>
      <c r="L185" s="87"/>
      <c r="M185" s="87"/>
      <c r="N185" s="87"/>
      <c r="O185" s="87"/>
      <c r="P185" s="88"/>
    </row>
    <row r="186" spans="1:16">
      <c r="A186" s="85"/>
      <c r="B186" s="86"/>
      <c r="C186" s="86"/>
      <c r="D186" s="87"/>
      <c r="E186" s="87"/>
      <c r="F186" s="87"/>
      <c r="G186" s="87"/>
      <c r="H186" s="87"/>
      <c r="I186" s="87"/>
      <c r="J186" s="87"/>
      <c r="K186" s="87"/>
      <c r="L186" s="87"/>
      <c r="M186" s="87"/>
      <c r="N186" s="87"/>
      <c r="O186" s="87"/>
      <c r="P186" s="88"/>
    </row>
    <row r="187" spans="1:16">
      <c r="A187" s="85"/>
      <c r="B187" s="86"/>
      <c r="C187" s="86"/>
      <c r="D187" s="87"/>
      <c r="E187" s="87"/>
      <c r="F187" s="87"/>
      <c r="G187" s="87"/>
      <c r="H187" s="87"/>
      <c r="I187" s="87"/>
      <c r="J187" s="87"/>
      <c r="K187" s="87"/>
      <c r="L187" s="87"/>
      <c r="M187" s="87"/>
      <c r="N187" s="87"/>
      <c r="O187" s="87"/>
      <c r="P187" s="88"/>
    </row>
    <row r="188" spans="1:16">
      <c r="A188" s="85"/>
      <c r="B188" s="86"/>
      <c r="C188" s="86"/>
      <c r="D188" s="87"/>
      <c r="E188" s="87"/>
      <c r="F188" s="87"/>
      <c r="G188" s="87"/>
      <c r="H188" s="87"/>
      <c r="I188" s="87"/>
      <c r="J188" s="87"/>
      <c r="K188" s="87"/>
      <c r="L188" s="87"/>
      <c r="M188" s="87"/>
      <c r="N188" s="87"/>
      <c r="O188" s="87"/>
      <c r="P188" s="88"/>
    </row>
    <row r="189" spans="1:16">
      <c r="A189" s="85"/>
      <c r="B189" s="86"/>
      <c r="C189" s="86"/>
      <c r="D189" s="87"/>
      <c r="E189" s="87"/>
      <c r="F189" s="87"/>
      <c r="G189" s="87"/>
      <c r="H189" s="87"/>
      <c r="I189" s="87"/>
      <c r="J189" s="87"/>
      <c r="K189" s="87"/>
      <c r="L189" s="87"/>
      <c r="M189" s="87"/>
      <c r="N189" s="87"/>
      <c r="O189" s="87"/>
      <c r="P189" s="88"/>
    </row>
    <row r="190" spans="1:16">
      <c r="A190" s="85"/>
      <c r="B190" s="86"/>
      <c r="C190" s="86"/>
      <c r="D190" s="87"/>
      <c r="E190" s="87"/>
      <c r="F190" s="87"/>
      <c r="G190" s="87"/>
      <c r="H190" s="87"/>
      <c r="I190" s="87"/>
      <c r="J190" s="87"/>
      <c r="K190" s="87"/>
      <c r="L190" s="87"/>
      <c r="M190" s="87"/>
      <c r="N190" s="87"/>
      <c r="O190" s="87"/>
      <c r="P190" s="88"/>
    </row>
    <row r="191" spans="1:16">
      <c r="A191" s="85"/>
      <c r="B191" s="86"/>
      <c r="C191" s="86"/>
      <c r="D191" s="87"/>
      <c r="E191" s="87"/>
      <c r="F191" s="87"/>
      <c r="G191" s="87"/>
      <c r="H191" s="87"/>
      <c r="I191" s="87"/>
      <c r="J191" s="87"/>
      <c r="K191" s="87"/>
      <c r="L191" s="87"/>
      <c r="M191" s="87"/>
      <c r="N191" s="87"/>
      <c r="O191" s="87"/>
      <c r="P191" s="88"/>
    </row>
    <row r="192" spans="1:16">
      <c r="A192" s="85"/>
      <c r="B192" s="86"/>
      <c r="C192" s="86"/>
      <c r="D192" s="87"/>
      <c r="E192" s="87"/>
      <c r="F192" s="87"/>
      <c r="G192" s="87"/>
      <c r="H192" s="87"/>
      <c r="I192" s="87"/>
      <c r="J192" s="87"/>
      <c r="K192" s="87"/>
      <c r="L192" s="87"/>
      <c r="M192" s="87"/>
      <c r="N192" s="87"/>
      <c r="O192" s="87"/>
      <c r="P192" s="88"/>
    </row>
    <row r="193" spans="1:16">
      <c r="A193" s="85"/>
      <c r="B193" s="86"/>
      <c r="C193" s="86"/>
      <c r="D193" s="87"/>
      <c r="E193" s="87"/>
      <c r="F193" s="87"/>
      <c r="G193" s="87"/>
      <c r="H193" s="87"/>
      <c r="I193" s="87"/>
      <c r="J193" s="87"/>
      <c r="K193" s="87"/>
      <c r="L193" s="87"/>
      <c r="M193" s="87"/>
      <c r="N193" s="87"/>
      <c r="O193" s="87"/>
      <c r="P193" s="88"/>
    </row>
    <row r="194" spans="1:16">
      <c r="A194" s="85"/>
      <c r="B194" s="86"/>
      <c r="C194" s="86"/>
      <c r="D194" s="87"/>
      <c r="E194" s="87"/>
      <c r="F194" s="87"/>
      <c r="G194" s="87"/>
      <c r="H194" s="87"/>
      <c r="I194" s="87"/>
      <c r="J194" s="87"/>
      <c r="K194" s="87"/>
      <c r="L194" s="87"/>
      <c r="M194" s="87"/>
      <c r="N194" s="87"/>
      <c r="O194" s="87"/>
      <c r="P194" s="88"/>
    </row>
    <row r="195" spans="1:16">
      <c r="A195" s="85"/>
      <c r="B195" s="86"/>
      <c r="C195" s="86"/>
      <c r="D195" s="87"/>
      <c r="E195" s="87"/>
      <c r="F195" s="87"/>
      <c r="G195" s="87"/>
      <c r="H195" s="87"/>
      <c r="I195" s="87"/>
      <c r="J195" s="87"/>
      <c r="K195" s="87"/>
      <c r="L195" s="87"/>
      <c r="M195" s="87"/>
      <c r="N195" s="87"/>
      <c r="O195" s="87"/>
      <c r="P195" s="88"/>
    </row>
    <row r="196" spans="1:16">
      <c r="A196" s="85"/>
      <c r="B196" s="86"/>
      <c r="C196" s="86"/>
      <c r="D196" s="87"/>
      <c r="E196" s="87"/>
      <c r="F196" s="87"/>
      <c r="G196" s="87"/>
      <c r="H196" s="87"/>
      <c r="I196" s="87"/>
      <c r="J196" s="87"/>
      <c r="K196" s="87"/>
      <c r="L196" s="87"/>
      <c r="M196" s="87"/>
      <c r="N196" s="87"/>
      <c r="O196" s="87"/>
      <c r="P196" s="88"/>
    </row>
    <row r="197" spans="1:16">
      <c r="A197" s="85"/>
      <c r="B197" s="86"/>
      <c r="C197" s="86"/>
      <c r="D197" s="87"/>
      <c r="E197" s="87"/>
      <c r="F197" s="87"/>
      <c r="G197" s="87"/>
      <c r="H197" s="87"/>
      <c r="I197" s="87"/>
      <c r="J197" s="87"/>
      <c r="K197" s="87"/>
      <c r="L197" s="87"/>
      <c r="M197" s="87"/>
      <c r="N197" s="87"/>
      <c r="O197" s="87"/>
      <c r="P197" s="88"/>
    </row>
    <row r="198" spans="1:16">
      <c r="A198" s="85"/>
      <c r="B198" s="86"/>
      <c r="C198" s="86"/>
      <c r="D198" s="87"/>
      <c r="E198" s="87"/>
      <c r="F198" s="87"/>
      <c r="G198" s="87"/>
      <c r="H198" s="87"/>
      <c r="I198" s="87"/>
      <c r="J198" s="87"/>
      <c r="K198" s="87"/>
      <c r="L198" s="87"/>
      <c r="M198" s="87"/>
      <c r="N198" s="87"/>
      <c r="O198" s="87"/>
      <c r="P198" s="88"/>
    </row>
    <row r="199" spans="1:16">
      <c r="A199" s="85"/>
      <c r="B199" s="86"/>
      <c r="C199" s="86"/>
      <c r="D199" s="87"/>
      <c r="E199" s="87"/>
      <c r="F199" s="87"/>
      <c r="G199" s="87"/>
      <c r="H199" s="87"/>
      <c r="I199" s="87"/>
      <c r="J199" s="87"/>
      <c r="K199" s="87"/>
      <c r="L199" s="87"/>
      <c r="M199" s="87"/>
      <c r="N199" s="87"/>
      <c r="O199" s="87"/>
      <c r="P199" s="88"/>
    </row>
    <row r="200" spans="1:16">
      <c r="A200" s="85"/>
      <c r="B200" s="86"/>
      <c r="C200" s="86"/>
      <c r="D200" s="87"/>
      <c r="E200" s="87"/>
      <c r="F200" s="87"/>
      <c r="G200" s="87"/>
      <c r="H200" s="87"/>
      <c r="I200" s="87"/>
      <c r="J200" s="87"/>
      <c r="K200" s="87"/>
      <c r="L200" s="87"/>
      <c r="M200" s="87"/>
      <c r="N200" s="87"/>
      <c r="O200" s="87"/>
      <c r="P200" s="88"/>
    </row>
    <row r="201" spans="1:16">
      <c r="A201" s="85"/>
      <c r="B201" s="86"/>
      <c r="C201" s="86"/>
      <c r="D201" s="87"/>
      <c r="E201" s="87"/>
      <c r="F201" s="87"/>
      <c r="G201" s="87"/>
      <c r="H201" s="87"/>
      <c r="I201" s="87"/>
      <c r="J201" s="87"/>
      <c r="K201" s="87"/>
      <c r="L201" s="87"/>
      <c r="M201" s="87"/>
      <c r="N201" s="87"/>
      <c r="O201" s="87"/>
      <c r="P201" s="88"/>
    </row>
    <row r="202" spans="1:16">
      <c r="A202" s="85"/>
      <c r="B202" s="86"/>
      <c r="C202" s="86"/>
      <c r="D202" s="87"/>
      <c r="E202" s="87"/>
      <c r="F202" s="87"/>
      <c r="G202" s="87"/>
      <c r="H202" s="87"/>
      <c r="I202" s="87"/>
      <c r="J202" s="87"/>
      <c r="K202" s="87"/>
      <c r="L202" s="87"/>
      <c r="M202" s="87"/>
      <c r="N202" s="87"/>
      <c r="O202" s="87"/>
      <c r="P202" s="88"/>
    </row>
    <row r="203" spans="1:16">
      <c r="A203" s="85"/>
      <c r="B203" s="86"/>
      <c r="C203" s="86"/>
      <c r="D203" s="87"/>
      <c r="E203" s="87"/>
      <c r="F203" s="87"/>
      <c r="G203" s="87"/>
      <c r="H203" s="87"/>
      <c r="I203" s="87"/>
      <c r="J203" s="87"/>
      <c r="K203" s="87"/>
      <c r="L203" s="87"/>
      <c r="M203" s="87"/>
      <c r="N203" s="87"/>
      <c r="O203" s="87"/>
      <c r="P203" s="88"/>
    </row>
    <row r="204" spans="1:16">
      <c r="A204" s="85"/>
      <c r="B204" s="86"/>
      <c r="C204" s="86"/>
      <c r="D204" s="87"/>
      <c r="E204" s="87"/>
      <c r="F204" s="87"/>
      <c r="G204" s="87"/>
      <c r="H204" s="87"/>
      <c r="I204" s="87"/>
      <c r="J204" s="87"/>
      <c r="K204" s="87"/>
      <c r="L204" s="87"/>
      <c r="M204" s="87"/>
      <c r="N204" s="87"/>
      <c r="O204" s="87"/>
      <c r="P204" s="88"/>
    </row>
    <row r="205" spans="1:16">
      <c r="A205" s="85"/>
      <c r="B205" s="86"/>
      <c r="C205" s="86"/>
      <c r="D205" s="87"/>
      <c r="E205" s="87"/>
      <c r="F205" s="87"/>
      <c r="G205" s="87"/>
      <c r="H205" s="87"/>
      <c r="I205" s="87"/>
      <c r="J205" s="87"/>
      <c r="K205" s="87"/>
      <c r="L205" s="87"/>
      <c r="M205" s="87"/>
      <c r="N205" s="87"/>
      <c r="O205" s="87"/>
      <c r="P205" s="88"/>
    </row>
    <row r="206" spans="1:16">
      <c r="A206" s="85"/>
      <c r="B206" s="86"/>
      <c r="C206" s="86"/>
      <c r="D206" s="87"/>
      <c r="E206" s="87"/>
      <c r="F206" s="87"/>
      <c r="G206" s="87"/>
      <c r="H206" s="87"/>
      <c r="I206" s="87"/>
      <c r="J206" s="87"/>
      <c r="K206" s="87"/>
      <c r="L206" s="87"/>
      <c r="M206" s="87"/>
      <c r="N206" s="87"/>
      <c r="O206" s="87"/>
      <c r="P206" s="88"/>
    </row>
    <row r="207" spans="1:16">
      <c r="A207" s="85"/>
      <c r="B207" s="86"/>
      <c r="C207" s="86"/>
      <c r="D207" s="87"/>
      <c r="E207" s="87"/>
      <c r="F207" s="87"/>
      <c r="G207" s="87"/>
      <c r="H207" s="87"/>
      <c r="I207" s="87"/>
      <c r="J207" s="87"/>
      <c r="K207" s="87"/>
      <c r="L207" s="87"/>
      <c r="M207" s="87"/>
      <c r="N207" s="87"/>
      <c r="O207" s="87"/>
      <c r="P207" s="88"/>
    </row>
    <row r="208" spans="1:16">
      <c r="A208" s="85"/>
      <c r="B208" s="86"/>
      <c r="C208" s="86"/>
      <c r="D208" s="87"/>
      <c r="E208" s="87"/>
      <c r="F208" s="87"/>
      <c r="G208" s="87"/>
      <c r="H208" s="87"/>
      <c r="I208" s="87"/>
      <c r="J208" s="87"/>
      <c r="K208" s="87"/>
      <c r="L208" s="87"/>
      <c r="M208" s="87"/>
      <c r="N208" s="87"/>
      <c r="O208" s="87"/>
      <c r="P208" s="88"/>
    </row>
    <row r="209" spans="1:16">
      <c r="A209" s="85"/>
      <c r="B209" s="86"/>
      <c r="C209" s="86"/>
      <c r="D209" s="87"/>
      <c r="E209" s="87"/>
      <c r="F209" s="87"/>
      <c r="G209" s="87"/>
      <c r="H209" s="87"/>
      <c r="I209" s="87"/>
      <c r="J209" s="87"/>
      <c r="K209" s="87"/>
      <c r="L209" s="87"/>
      <c r="M209" s="87"/>
      <c r="N209" s="87"/>
      <c r="O209" s="87"/>
      <c r="P209" s="88"/>
    </row>
    <row r="210" spans="1:16">
      <c r="A210" s="85"/>
      <c r="B210" s="86"/>
      <c r="C210" s="86"/>
      <c r="D210" s="87"/>
      <c r="E210" s="87"/>
      <c r="F210" s="87"/>
      <c r="G210" s="87"/>
      <c r="H210" s="87"/>
      <c r="I210" s="87"/>
      <c r="J210" s="87"/>
      <c r="K210" s="87"/>
      <c r="L210" s="87"/>
      <c r="M210" s="87"/>
      <c r="N210" s="87"/>
      <c r="O210" s="87"/>
      <c r="P210" s="88"/>
    </row>
    <row r="211" spans="1:16">
      <c r="A211" s="85"/>
      <c r="B211" s="86"/>
      <c r="C211" s="86"/>
      <c r="D211" s="87"/>
      <c r="E211" s="87"/>
      <c r="F211" s="87"/>
      <c r="G211" s="87"/>
      <c r="H211" s="87"/>
      <c r="I211" s="87"/>
      <c r="J211" s="87"/>
      <c r="K211" s="87"/>
      <c r="L211" s="87"/>
      <c r="M211" s="87"/>
      <c r="N211" s="87"/>
      <c r="O211" s="87"/>
      <c r="P211" s="88"/>
    </row>
    <row r="212" spans="1:16">
      <c r="A212" s="85"/>
      <c r="B212" s="86"/>
      <c r="C212" s="86"/>
      <c r="D212" s="87"/>
      <c r="E212" s="87"/>
      <c r="F212" s="87"/>
      <c r="G212" s="87"/>
      <c r="H212" s="87"/>
      <c r="I212" s="87"/>
      <c r="J212" s="87"/>
      <c r="K212" s="87"/>
      <c r="L212" s="87"/>
      <c r="M212" s="87"/>
      <c r="N212" s="87"/>
      <c r="O212" s="87"/>
      <c r="P212" s="88"/>
    </row>
    <row r="213" spans="1:16">
      <c r="A213" s="85"/>
      <c r="B213" s="86"/>
      <c r="C213" s="86"/>
      <c r="D213" s="87"/>
      <c r="E213" s="87"/>
      <c r="F213" s="87"/>
      <c r="G213" s="87"/>
      <c r="H213" s="87"/>
      <c r="I213" s="87"/>
      <c r="J213" s="87"/>
      <c r="K213" s="87"/>
      <c r="L213" s="87"/>
      <c r="M213" s="87"/>
      <c r="N213" s="87"/>
      <c r="O213" s="87"/>
      <c r="P213" s="88"/>
    </row>
    <row r="214" spans="1:16">
      <c r="A214" s="85"/>
      <c r="B214" s="86"/>
      <c r="C214" s="86"/>
      <c r="D214" s="87"/>
      <c r="E214" s="87"/>
      <c r="F214" s="87"/>
      <c r="G214" s="87"/>
      <c r="H214" s="87"/>
      <c r="I214" s="87"/>
      <c r="J214" s="87"/>
      <c r="K214" s="87"/>
      <c r="L214" s="87"/>
      <c r="M214" s="87"/>
      <c r="N214" s="87"/>
      <c r="O214" s="87"/>
      <c r="P214" s="88"/>
    </row>
    <row r="215" spans="1:16">
      <c r="A215" s="85"/>
      <c r="B215" s="86"/>
      <c r="C215" s="86"/>
      <c r="D215" s="87"/>
      <c r="E215" s="87"/>
      <c r="F215" s="87"/>
      <c r="G215" s="87"/>
      <c r="H215" s="87"/>
      <c r="I215" s="87"/>
      <c r="J215" s="87"/>
      <c r="K215" s="87"/>
      <c r="L215" s="87"/>
      <c r="M215" s="87"/>
      <c r="N215" s="87"/>
      <c r="O215" s="87"/>
      <c r="P215" s="88"/>
    </row>
    <row r="216" spans="1:16">
      <c r="A216" s="85"/>
      <c r="B216" s="86"/>
      <c r="C216" s="86"/>
      <c r="D216" s="87"/>
      <c r="E216" s="87"/>
      <c r="F216" s="87"/>
      <c r="G216" s="87"/>
      <c r="H216" s="87"/>
      <c r="I216" s="87"/>
      <c r="J216" s="87"/>
      <c r="K216" s="87"/>
      <c r="L216" s="87"/>
      <c r="M216" s="87"/>
      <c r="N216" s="87"/>
      <c r="O216" s="87"/>
      <c r="P216" s="88"/>
    </row>
    <row r="217" spans="1:16">
      <c r="A217" s="85"/>
      <c r="B217" s="86"/>
      <c r="C217" s="86"/>
      <c r="D217" s="87"/>
      <c r="E217" s="87"/>
      <c r="F217" s="87"/>
      <c r="G217" s="87"/>
      <c r="H217" s="87"/>
      <c r="I217" s="87"/>
      <c r="J217" s="87"/>
      <c r="K217" s="87"/>
      <c r="L217" s="87"/>
      <c r="M217" s="87"/>
      <c r="N217" s="87"/>
      <c r="O217" s="87"/>
      <c r="P217" s="88"/>
    </row>
    <row r="218" spans="1:16">
      <c r="A218" s="85"/>
      <c r="B218" s="86"/>
      <c r="C218" s="86"/>
      <c r="D218" s="87"/>
      <c r="E218" s="87"/>
      <c r="F218" s="87"/>
      <c r="G218" s="87"/>
      <c r="H218" s="87"/>
      <c r="I218" s="87"/>
      <c r="J218" s="87"/>
      <c r="K218" s="87"/>
      <c r="L218" s="87"/>
      <c r="M218" s="87"/>
      <c r="N218" s="87"/>
      <c r="O218" s="87"/>
      <c r="P218" s="88"/>
    </row>
    <row r="219" spans="1:16">
      <c r="A219" s="85"/>
      <c r="B219" s="86"/>
      <c r="C219" s="86"/>
      <c r="D219" s="87"/>
      <c r="E219" s="87"/>
      <c r="F219" s="87"/>
      <c r="G219" s="87"/>
      <c r="H219" s="87"/>
      <c r="I219" s="87"/>
      <c r="J219" s="87"/>
      <c r="K219" s="87"/>
      <c r="L219" s="87"/>
      <c r="M219" s="87"/>
      <c r="N219" s="87"/>
      <c r="O219" s="87"/>
      <c r="P219" s="88"/>
    </row>
    <row r="220" spans="1:16">
      <c r="A220" s="85"/>
      <c r="B220" s="86"/>
      <c r="C220" s="86"/>
      <c r="D220" s="87"/>
      <c r="E220" s="87"/>
      <c r="F220" s="87"/>
      <c r="G220" s="87"/>
      <c r="H220" s="87"/>
      <c r="I220" s="87"/>
      <c r="J220" s="87"/>
      <c r="K220" s="87"/>
      <c r="L220" s="87"/>
      <c r="M220" s="87"/>
      <c r="N220" s="87"/>
      <c r="O220" s="87"/>
      <c r="P220" s="88"/>
    </row>
    <row r="221" spans="1:16">
      <c r="A221" s="85"/>
      <c r="B221" s="86"/>
      <c r="C221" s="86"/>
      <c r="D221" s="87"/>
      <c r="E221" s="87"/>
      <c r="F221" s="87"/>
      <c r="G221" s="87"/>
      <c r="H221" s="87"/>
      <c r="I221" s="87"/>
      <c r="J221" s="87"/>
      <c r="K221" s="87"/>
      <c r="L221" s="87"/>
      <c r="M221" s="87"/>
      <c r="N221" s="87"/>
      <c r="O221" s="87"/>
      <c r="P221" s="88"/>
    </row>
    <row r="222" spans="1:16">
      <c r="A222" s="85"/>
      <c r="B222" s="86"/>
      <c r="C222" s="86"/>
      <c r="D222" s="87"/>
      <c r="E222" s="87"/>
      <c r="F222" s="87"/>
      <c r="G222" s="87"/>
      <c r="H222" s="87"/>
      <c r="I222" s="87"/>
      <c r="J222" s="87"/>
      <c r="K222" s="87"/>
      <c r="L222" s="87"/>
      <c r="M222" s="87"/>
      <c r="N222" s="87"/>
      <c r="O222" s="87"/>
      <c r="P222" s="88"/>
    </row>
    <row r="223" spans="1:16">
      <c r="A223" s="85"/>
      <c r="B223" s="86"/>
      <c r="C223" s="86"/>
      <c r="D223" s="87"/>
      <c r="E223" s="87"/>
      <c r="F223" s="87"/>
      <c r="G223" s="87"/>
      <c r="H223" s="87"/>
      <c r="I223" s="87"/>
      <c r="J223" s="87"/>
      <c r="K223" s="87"/>
      <c r="L223" s="87"/>
      <c r="M223" s="87"/>
      <c r="N223" s="87"/>
      <c r="O223" s="87"/>
      <c r="P223" s="88"/>
    </row>
    <row r="224" spans="1:16">
      <c r="A224" s="85"/>
      <c r="B224" s="86"/>
      <c r="C224" s="86"/>
      <c r="D224" s="87"/>
      <c r="E224" s="87"/>
      <c r="F224" s="87"/>
      <c r="G224" s="87"/>
      <c r="H224" s="87"/>
      <c r="I224" s="87"/>
      <c r="J224" s="87"/>
      <c r="K224" s="87"/>
      <c r="L224" s="87"/>
      <c r="M224" s="87"/>
      <c r="N224" s="87"/>
      <c r="O224" s="87"/>
      <c r="P224" s="88"/>
    </row>
    <row r="225" spans="1:16">
      <c r="A225" s="85"/>
      <c r="B225" s="86"/>
      <c r="C225" s="86"/>
      <c r="D225" s="87"/>
      <c r="E225" s="87"/>
      <c r="F225" s="87"/>
      <c r="G225" s="87"/>
      <c r="H225" s="87"/>
      <c r="I225" s="87"/>
      <c r="J225" s="87"/>
      <c r="K225" s="87"/>
      <c r="L225" s="87"/>
      <c r="M225" s="87"/>
      <c r="N225" s="87"/>
      <c r="O225" s="87"/>
      <c r="P225" s="88"/>
    </row>
    <row r="226" spans="1:16">
      <c r="A226" s="85"/>
      <c r="B226" s="86"/>
      <c r="C226" s="86"/>
      <c r="D226" s="87"/>
      <c r="E226" s="87"/>
      <c r="F226" s="87"/>
      <c r="G226" s="87"/>
      <c r="H226" s="87"/>
      <c r="I226" s="87"/>
      <c r="J226" s="87"/>
      <c r="K226" s="87"/>
      <c r="L226" s="87"/>
      <c r="M226" s="87"/>
      <c r="N226" s="87"/>
      <c r="O226" s="87"/>
      <c r="P226" s="88"/>
    </row>
    <row r="227" spans="1:16">
      <c r="A227" s="85"/>
      <c r="B227" s="86"/>
      <c r="C227" s="86"/>
      <c r="D227" s="87"/>
      <c r="E227" s="87"/>
      <c r="F227" s="87"/>
      <c r="G227" s="87"/>
      <c r="H227" s="87"/>
      <c r="I227" s="87"/>
      <c r="J227" s="87"/>
      <c r="K227" s="87"/>
      <c r="L227" s="87"/>
      <c r="M227" s="87"/>
      <c r="N227" s="87"/>
      <c r="O227" s="87"/>
      <c r="P227" s="88"/>
    </row>
    <row r="228" spans="1:16">
      <c r="A228" s="85"/>
      <c r="B228" s="86"/>
      <c r="C228" s="86"/>
      <c r="D228" s="87"/>
      <c r="E228" s="87"/>
      <c r="F228" s="87"/>
      <c r="G228" s="87"/>
      <c r="H228" s="87"/>
      <c r="I228" s="87"/>
      <c r="J228" s="87"/>
      <c r="K228" s="87"/>
      <c r="L228" s="87"/>
      <c r="M228" s="87"/>
      <c r="N228" s="87"/>
      <c r="O228" s="87"/>
      <c r="P228" s="88"/>
    </row>
    <row r="229" spans="1:16">
      <c r="A229" s="85"/>
      <c r="B229" s="86"/>
      <c r="C229" s="86"/>
      <c r="D229" s="87"/>
      <c r="E229" s="87"/>
      <c r="F229" s="87"/>
      <c r="G229" s="87"/>
      <c r="H229" s="87"/>
      <c r="I229" s="87"/>
      <c r="J229" s="87"/>
      <c r="K229" s="87"/>
      <c r="L229" s="87"/>
      <c r="M229" s="87"/>
      <c r="N229" s="87"/>
      <c r="O229" s="87"/>
      <c r="P229" s="88"/>
    </row>
    <row r="230" spans="1:16">
      <c r="A230" s="85"/>
      <c r="B230" s="86"/>
      <c r="C230" s="86"/>
      <c r="D230" s="87"/>
      <c r="E230" s="87"/>
      <c r="F230" s="87"/>
      <c r="G230" s="87"/>
      <c r="H230" s="87"/>
      <c r="I230" s="87"/>
      <c r="J230" s="87"/>
      <c r="K230" s="87"/>
      <c r="L230" s="87"/>
      <c r="M230" s="87"/>
      <c r="N230" s="87"/>
      <c r="O230" s="87"/>
      <c r="P230" s="88"/>
    </row>
    <row r="231" spans="1:16">
      <c r="A231" s="85"/>
      <c r="B231" s="86"/>
      <c r="C231" s="86"/>
      <c r="D231" s="87"/>
      <c r="E231" s="87"/>
      <c r="F231" s="87"/>
      <c r="G231" s="87"/>
      <c r="H231" s="87"/>
      <c r="I231" s="87"/>
      <c r="J231" s="87"/>
      <c r="K231" s="87"/>
      <c r="L231" s="87"/>
      <c r="M231" s="87"/>
      <c r="N231" s="87"/>
      <c r="O231" s="87"/>
      <c r="P231" s="88"/>
    </row>
    <row r="232" spans="1:16">
      <c r="A232" s="85"/>
      <c r="B232" s="86"/>
      <c r="C232" s="86"/>
      <c r="D232" s="87"/>
      <c r="E232" s="87"/>
      <c r="F232" s="87"/>
      <c r="G232" s="87"/>
      <c r="H232" s="87"/>
      <c r="I232" s="87"/>
      <c r="J232" s="87"/>
      <c r="K232" s="87"/>
      <c r="L232" s="87"/>
      <c r="M232" s="87"/>
      <c r="N232" s="87"/>
      <c r="O232" s="87"/>
      <c r="P232" s="88"/>
    </row>
    <row r="233" spans="1:16">
      <c r="A233" s="85"/>
      <c r="B233" s="86"/>
      <c r="C233" s="86"/>
      <c r="D233" s="87"/>
      <c r="E233" s="87"/>
      <c r="F233" s="87"/>
      <c r="G233" s="87"/>
      <c r="H233" s="87"/>
      <c r="I233" s="87"/>
      <c r="J233" s="87"/>
      <c r="K233" s="87"/>
      <c r="L233" s="87"/>
      <c r="M233" s="87"/>
      <c r="N233" s="87"/>
      <c r="O233" s="87"/>
      <c r="P233" s="88"/>
    </row>
    <row r="234" spans="1:16">
      <c r="A234" s="85"/>
      <c r="B234" s="86"/>
      <c r="C234" s="86"/>
      <c r="D234" s="87"/>
      <c r="E234" s="87"/>
      <c r="F234" s="87"/>
      <c r="G234" s="87"/>
      <c r="H234" s="87"/>
      <c r="I234" s="87"/>
      <c r="J234" s="87"/>
      <c r="K234" s="87"/>
      <c r="L234" s="87"/>
      <c r="M234" s="87"/>
      <c r="N234" s="87"/>
      <c r="O234" s="87"/>
      <c r="P234" s="88"/>
    </row>
    <row r="235" spans="1:16">
      <c r="A235" s="85"/>
      <c r="B235" s="86"/>
      <c r="C235" s="86"/>
      <c r="D235" s="87"/>
      <c r="E235" s="87"/>
      <c r="F235" s="87"/>
      <c r="G235" s="87"/>
      <c r="H235" s="87"/>
      <c r="I235" s="87"/>
      <c r="J235" s="87"/>
      <c r="K235" s="87"/>
      <c r="L235" s="87"/>
      <c r="M235" s="87"/>
      <c r="N235" s="87"/>
      <c r="O235" s="87"/>
      <c r="P235" s="88"/>
    </row>
    <row r="236" spans="1:16">
      <c r="A236" s="85"/>
      <c r="B236" s="86"/>
      <c r="C236" s="86"/>
      <c r="D236" s="87"/>
      <c r="E236" s="87"/>
      <c r="F236" s="87"/>
      <c r="G236" s="87"/>
      <c r="H236" s="87"/>
      <c r="I236" s="87"/>
      <c r="J236" s="87"/>
      <c r="K236" s="87"/>
      <c r="L236" s="87"/>
      <c r="M236" s="87"/>
      <c r="N236" s="87"/>
      <c r="O236" s="87"/>
      <c r="P236" s="88"/>
    </row>
    <row r="237" spans="1:16">
      <c r="A237" s="85"/>
      <c r="B237" s="86"/>
      <c r="C237" s="86"/>
      <c r="D237" s="87"/>
      <c r="E237" s="87"/>
      <c r="F237" s="87"/>
      <c r="G237" s="87"/>
      <c r="H237" s="87"/>
      <c r="I237" s="87"/>
      <c r="J237" s="87"/>
      <c r="K237" s="87"/>
      <c r="L237" s="87"/>
      <c r="M237" s="87"/>
      <c r="N237" s="87"/>
      <c r="O237" s="87"/>
      <c r="P237" s="88"/>
    </row>
    <row r="238" spans="1:16">
      <c r="A238" s="85"/>
      <c r="B238" s="86"/>
      <c r="C238" s="86"/>
      <c r="D238" s="87"/>
      <c r="E238" s="87"/>
      <c r="F238" s="87"/>
      <c r="G238" s="87"/>
      <c r="H238" s="87"/>
      <c r="I238" s="87"/>
      <c r="J238" s="87"/>
      <c r="K238" s="87"/>
      <c r="L238" s="87"/>
      <c r="M238" s="87"/>
      <c r="N238" s="87"/>
      <c r="O238" s="87"/>
      <c r="P238" s="88"/>
    </row>
    <row r="239" spans="1:16">
      <c r="A239" s="85"/>
      <c r="B239" s="86"/>
      <c r="C239" s="86"/>
      <c r="D239" s="87"/>
      <c r="E239" s="87"/>
      <c r="F239" s="87"/>
      <c r="G239" s="87"/>
      <c r="H239" s="87"/>
      <c r="I239" s="87"/>
      <c r="J239" s="87"/>
      <c r="K239" s="87"/>
      <c r="L239" s="87"/>
      <c r="M239" s="87"/>
      <c r="N239" s="87"/>
      <c r="O239" s="87"/>
      <c r="P239" s="88"/>
    </row>
    <row r="240" spans="1:16">
      <c r="A240" s="85"/>
      <c r="B240" s="86"/>
      <c r="C240" s="86"/>
      <c r="D240" s="87"/>
      <c r="E240" s="87"/>
      <c r="F240" s="87"/>
      <c r="G240" s="87"/>
      <c r="H240" s="87"/>
      <c r="I240" s="87"/>
      <c r="J240" s="87"/>
      <c r="K240" s="87"/>
      <c r="L240" s="87"/>
      <c r="M240" s="87"/>
      <c r="N240" s="87"/>
      <c r="O240" s="87"/>
      <c r="P240" s="88"/>
    </row>
    <row r="241" spans="1:16">
      <c r="A241" s="85"/>
      <c r="B241" s="86"/>
      <c r="C241" s="86"/>
      <c r="D241" s="87"/>
      <c r="E241" s="87"/>
      <c r="F241" s="87"/>
      <c r="G241" s="87"/>
      <c r="H241" s="87"/>
      <c r="I241" s="87"/>
      <c r="J241" s="87"/>
      <c r="K241" s="87"/>
      <c r="L241" s="87"/>
      <c r="M241" s="87"/>
      <c r="N241" s="87"/>
      <c r="O241" s="87"/>
      <c r="P241" s="88"/>
    </row>
    <row r="242" spans="1:16">
      <c r="A242" s="85"/>
      <c r="B242" s="86"/>
      <c r="C242" s="86"/>
      <c r="D242" s="87"/>
      <c r="E242" s="87"/>
      <c r="F242" s="87"/>
      <c r="G242" s="87"/>
      <c r="H242" s="87"/>
      <c r="I242" s="87"/>
      <c r="J242" s="87"/>
      <c r="K242" s="87"/>
      <c r="L242" s="87"/>
      <c r="M242" s="87"/>
      <c r="N242" s="87"/>
      <c r="O242" s="87"/>
      <c r="P242" s="88"/>
    </row>
    <row r="243" spans="1:16">
      <c r="A243" s="85"/>
      <c r="B243" s="86"/>
      <c r="C243" s="86"/>
      <c r="D243" s="87"/>
      <c r="E243" s="87"/>
      <c r="F243" s="87"/>
      <c r="G243" s="87"/>
      <c r="H243" s="87"/>
      <c r="I243" s="87"/>
      <c r="J243" s="87"/>
      <c r="K243" s="87"/>
      <c r="L243" s="87"/>
      <c r="M243" s="87"/>
      <c r="N243" s="87"/>
      <c r="O243" s="87"/>
      <c r="P243" s="88"/>
    </row>
    <row r="244" spans="1:16">
      <c r="A244" s="85"/>
      <c r="B244" s="86"/>
      <c r="C244" s="86"/>
      <c r="D244" s="87"/>
      <c r="E244" s="87"/>
      <c r="F244" s="87"/>
      <c r="G244" s="87"/>
      <c r="H244" s="87"/>
      <c r="I244" s="87"/>
      <c r="J244" s="87"/>
      <c r="K244" s="87"/>
      <c r="L244" s="87"/>
      <c r="M244" s="87"/>
      <c r="N244" s="87"/>
      <c r="O244" s="87"/>
      <c r="P244" s="88"/>
    </row>
    <row r="245" spans="1:16">
      <c r="A245" s="85"/>
      <c r="B245" s="86"/>
      <c r="C245" s="86"/>
      <c r="D245" s="87"/>
      <c r="E245" s="87"/>
      <c r="F245" s="87"/>
      <c r="G245" s="87"/>
      <c r="H245" s="87"/>
      <c r="I245" s="87"/>
      <c r="J245" s="87"/>
      <c r="K245" s="87"/>
      <c r="L245" s="87"/>
      <c r="M245" s="87"/>
      <c r="N245" s="87"/>
      <c r="O245" s="87"/>
      <c r="P245" s="88"/>
    </row>
    <row r="246" spans="1:16">
      <c r="A246" s="85"/>
      <c r="B246" s="86"/>
      <c r="C246" s="86"/>
      <c r="D246" s="87"/>
      <c r="E246" s="87"/>
      <c r="F246" s="87"/>
      <c r="G246" s="87"/>
      <c r="H246" s="87"/>
      <c r="I246" s="87"/>
      <c r="J246" s="87"/>
      <c r="K246" s="87"/>
      <c r="L246" s="87"/>
      <c r="M246" s="87"/>
      <c r="N246" s="87"/>
      <c r="O246" s="87"/>
      <c r="P246" s="88"/>
    </row>
    <row r="247" spans="1:16">
      <c r="A247" s="85"/>
      <c r="B247" s="86"/>
      <c r="C247" s="86"/>
      <c r="D247" s="87"/>
      <c r="E247" s="87"/>
      <c r="F247" s="87"/>
      <c r="G247" s="87"/>
      <c r="H247" s="87"/>
      <c r="I247" s="87"/>
      <c r="J247" s="87"/>
      <c r="K247" s="87"/>
      <c r="L247" s="87"/>
      <c r="M247" s="87"/>
      <c r="N247" s="87"/>
      <c r="O247" s="87"/>
      <c r="P247" s="88"/>
    </row>
    <row r="248" spans="1:16">
      <c r="A248" s="85"/>
      <c r="B248" s="86"/>
      <c r="C248" s="86"/>
      <c r="D248" s="87"/>
      <c r="E248" s="87"/>
      <c r="F248" s="87"/>
      <c r="G248" s="87"/>
      <c r="H248" s="87"/>
      <c r="I248" s="87"/>
      <c r="J248" s="87"/>
      <c r="K248" s="87"/>
      <c r="L248" s="87"/>
      <c r="M248" s="87"/>
      <c r="N248" s="87"/>
      <c r="O248" s="87"/>
      <c r="P248" s="88"/>
    </row>
    <row r="249" spans="1:16">
      <c r="A249" s="85"/>
      <c r="B249" s="86"/>
      <c r="C249" s="86"/>
      <c r="D249" s="87"/>
      <c r="E249" s="87"/>
      <c r="F249" s="87"/>
      <c r="G249" s="87"/>
      <c r="H249" s="87"/>
      <c r="I249" s="87"/>
      <c r="J249" s="87"/>
      <c r="K249" s="87"/>
      <c r="L249" s="87"/>
      <c r="M249" s="87"/>
      <c r="N249" s="87"/>
      <c r="O249" s="87"/>
      <c r="P249" s="88"/>
    </row>
    <row r="250" spans="1:16">
      <c r="A250" s="85"/>
      <c r="B250" s="86"/>
      <c r="C250" s="86"/>
      <c r="D250" s="87"/>
      <c r="E250" s="87"/>
      <c r="F250" s="87"/>
      <c r="G250" s="87"/>
      <c r="H250" s="87"/>
      <c r="I250" s="87"/>
      <c r="J250" s="87"/>
      <c r="K250" s="87"/>
      <c r="L250" s="87"/>
      <c r="M250" s="87"/>
      <c r="N250" s="87"/>
      <c r="O250" s="87"/>
      <c r="P250" s="88"/>
    </row>
    <row r="251" spans="1:16">
      <c r="A251" s="85"/>
      <c r="B251" s="86"/>
      <c r="C251" s="86"/>
      <c r="D251" s="87"/>
      <c r="E251" s="87"/>
      <c r="F251" s="87"/>
      <c r="G251" s="87"/>
      <c r="H251" s="87"/>
      <c r="I251" s="87"/>
      <c r="J251" s="87"/>
      <c r="K251" s="87"/>
      <c r="L251" s="87"/>
      <c r="M251" s="87"/>
      <c r="N251" s="87"/>
      <c r="O251" s="87"/>
      <c r="P251" s="88"/>
    </row>
    <row r="252" spans="1:16">
      <c r="A252" s="85"/>
      <c r="B252" s="86"/>
      <c r="C252" s="86"/>
      <c r="D252" s="87"/>
      <c r="E252" s="87"/>
      <c r="F252" s="87"/>
      <c r="G252" s="87"/>
      <c r="H252" s="87"/>
      <c r="I252" s="87"/>
      <c r="J252" s="87"/>
      <c r="K252" s="87"/>
      <c r="L252" s="87"/>
      <c r="M252" s="87"/>
      <c r="N252" s="87"/>
      <c r="O252" s="87"/>
      <c r="P252" s="88"/>
    </row>
    <row r="253" spans="1:16">
      <c r="A253" s="85"/>
      <c r="B253" s="86"/>
      <c r="C253" s="86"/>
      <c r="D253" s="87"/>
      <c r="E253" s="87"/>
      <c r="F253" s="87"/>
      <c r="G253" s="87"/>
      <c r="H253" s="87"/>
      <c r="I253" s="87"/>
      <c r="J253" s="87"/>
      <c r="K253" s="87"/>
      <c r="L253" s="87"/>
      <c r="M253" s="87"/>
      <c r="N253" s="87"/>
      <c r="O253" s="87"/>
      <c r="P253" s="88"/>
    </row>
    <row r="254" spans="1:16">
      <c r="A254" s="85"/>
      <c r="B254" s="86"/>
      <c r="C254" s="86"/>
      <c r="D254" s="87"/>
      <c r="E254" s="87"/>
      <c r="F254" s="87"/>
      <c r="G254" s="87"/>
      <c r="H254" s="87"/>
      <c r="I254" s="87"/>
      <c r="J254" s="87"/>
      <c r="K254" s="87"/>
      <c r="L254" s="87"/>
      <c r="M254" s="87"/>
      <c r="N254" s="87"/>
      <c r="O254" s="87"/>
      <c r="P254" s="88"/>
    </row>
    <row r="255" spans="1:16">
      <c r="A255" s="85"/>
      <c r="B255" s="86"/>
      <c r="C255" s="86"/>
      <c r="D255" s="87"/>
      <c r="E255" s="87"/>
      <c r="F255" s="87"/>
      <c r="G255" s="87"/>
      <c r="H255" s="87"/>
      <c r="I255" s="87"/>
      <c r="J255" s="87"/>
      <c r="K255" s="87"/>
      <c r="L255" s="87"/>
      <c r="M255" s="87"/>
      <c r="N255" s="87"/>
      <c r="O255" s="87"/>
      <c r="P255" s="88"/>
    </row>
    <row r="256" spans="1:16">
      <c r="A256" s="85"/>
      <c r="B256" s="86"/>
      <c r="C256" s="86"/>
      <c r="D256" s="87"/>
      <c r="E256" s="87"/>
      <c r="F256" s="87"/>
      <c r="G256" s="87"/>
      <c r="H256" s="87"/>
      <c r="I256" s="87"/>
      <c r="J256" s="87"/>
      <c r="K256" s="87"/>
      <c r="L256" s="87"/>
      <c r="M256" s="87"/>
      <c r="N256" s="87"/>
      <c r="O256" s="87"/>
      <c r="P256" s="88"/>
    </row>
    <row r="257" spans="1:16">
      <c r="A257" s="85"/>
      <c r="B257" s="86"/>
      <c r="C257" s="86"/>
      <c r="D257" s="87"/>
      <c r="E257" s="87"/>
      <c r="F257" s="87"/>
      <c r="G257" s="87"/>
      <c r="H257" s="87"/>
      <c r="I257" s="87"/>
      <c r="J257" s="87"/>
      <c r="K257" s="87"/>
      <c r="L257" s="87"/>
      <c r="M257" s="87"/>
      <c r="N257" s="87"/>
      <c r="O257" s="87"/>
      <c r="P257" s="88"/>
    </row>
    <row r="258" spans="1:16">
      <c r="A258" s="85"/>
      <c r="B258" s="86"/>
      <c r="C258" s="86"/>
      <c r="D258" s="87"/>
      <c r="E258" s="87"/>
      <c r="F258" s="87"/>
      <c r="G258" s="87"/>
      <c r="H258" s="87"/>
      <c r="I258" s="87"/>
      <c r="J258" s="87"/>
      <c r="K258" s="87"/>
      <c r="L258" s="87"/>
      <c r="M258" s="87"/>
      <c r="N258" s="87"/>
      <c r="O258" s="87"/>
      <c r="P258" s="88"/>
    </row>
    <row r="259" spans="1:16">
      <c r="A259" s="85"/>
      <c r="B259" s="86"/>
      <c r="C259" s="86"/>
      <c r="D259" s="87"/>
      <c r="E259" s="87"/>
      <c r="F259" s="87"/>
      <c r="G259" s="87"/>
      <c r="H259" s="87"/>
      <c r="I259" s="87"/>
      <c r="J259" s="87"/>
      <c r="K259" s="87"/>
      <c r="L259" s="87"/>
      <c r="M259" s="87"/>
      <c r="N259" s="87"/>
      <c r="O259" s="87"/>
      <c r="P259" s="88"/>
    </row>
    <row r="260" spans="1:16">
      <c r="A260" s="85"/>
      <c r="B260" s="86"/>
      <c r="C260" s="86"/>
      <c r="D260" s="87"/>
      <c r="E260" s="87"/>
      <c r="F260" s="87"/>
      <c r="G260" s="87"/>
      <c r="H260" s="87"/>
      <c r="I260" s="87"/>
      <c r="J260" s="87"/>
      <c r="K260" s="87"/>
      <c r="L260" s="87"/>
      <c r="M260" s="87"/>
      <c r="N260" s="87"/>
      <c r="O260" s="87"/>
      <c r="P260" s="88"/>
    </row>
    <row r="261" spans="1:16">
      <c r="A261" s="85"/>
      <c r="B261" s="86"/>
      <c r="C261" s="86"/>
      <c r="D261" s="87"/>
      <c r="E261" s="87"/>
      <c r="F261" s="87"/>
      <c r="G261" s="87"/>
      <c r="H261" s="87"/>
      <c r="I261" s="87"/>
      <c r="J261" s="87"/>
      <c r="K261" s="87"/>
      <c r="L261" s="87"/>
      <c r="M261" s="87"/>
      <c r="N261" s="87"/>
      <c r="O261" s="87"/>
      <c r="P261" s="88"/>
    </row>
    <row r="262" spans="1:16">
      <c r="A262" s="85"/>
      <c r="B262" s="86"/>
      <c r="C262" s="86"/>
      <c r="D262" s="87"/>
      <c r="E262" s="87"/>
      <c r="F262" s="87"/>
      <c r="G262" s="87"/>
      <c r="H262" s="87"/>
      <c r="I262" s="87"/>
      <c r="J262" s="87"/>
      <c r="K262" s="87"/>
      <c r="L262" s="87"/>
      <c r="M262" s="87"/>
      <c r="N262" s="87"/>
      <c r="O262" s="87"/>
      <c r="P262" s="88"/>
    </row>
    <row r="263" spans="1:16">
      <c r="A263" s="85"/>
      <c r="B263" s="86"/>
      <c r="C263" s="86"/>
      <c r="D263" s="87"/>
      <c r="E263" s="87"/>
      <c r="F263" s="87"/>
      <c r="G263" s="87"/>
      <c r="H263" s="87"/>
      <c r="I263" s="87"/>
      <c r="J263" s="87"/>
      <c r="K263" s="87"/>
      <c r="L263" s="87"/>
      <c r="M263" s="87"/>
      <c r="N263" s="87"/>
      <c r="O263" s="87"/>
      <c r="P263" s="88"/>
    </row>
    <row r="264" spans="1:16">
      <c r="A264" s="85"/>
      <c r="B264" s="86"/>
      <c r="C264" s="86"/>
      <c r="D264" s="87"/>
      <c r="E264" s="87"/>
      <c r="F264" s="87"/>
      <c r="G264" s="87"/>
      <c r="H264" s="87"/>
      <c r="I264" s="87"/>
      <c r="J264" s="87"/>
      <c r="K264" s="87"/>
      <c r="L264" s="87"/>
      <c r="M264" s="87"/>
      <c r="N264" s="87"/>
      <c r="O264" s="87"/>
      <c r="P264" s="88"/>
    </row>
    <row r="265" spans="1:16">
      <c r="A265" s="85"/>
      <c r="B265" s="86"/>
      <c r="C265" s="86"/>
      <c r="D265" s="87"/>
      <c r="E265" s="87"/>
      <c r="F265" s="87"/>
      <c r="G265" s="87"/>
      <c r="H265" s="87"/>
      <c r="I265" s="87"/>
      <c r="J265" s="87"/>
      <c r="K265" s="87"/>
      <c r="L265" s="87"/>
      <c r="M265" s="87"/>
      <c r="N265" s="87"/>
      <c r="O265" s="87"/>
      <c r="P265" s="88"/>
    </row>
    <row r="266" spans="1:16">
      <c r="A266" s="85"/>
      <c r="B266" s="86"/>
      <c r="C266" s="86"/>
      <c r="D266" s="87"/>
      <c r="E266" s="87"/>
      <c r="F266" s="87"/>
      <c r="G266" s="87"/>
      <c r="H266" s="87"/>
      <c r="I266" s="87"/>
      <c r="J266" s="87"/>
      <c r="K266" s="87"/>
      <c r="L266" s="87"/>
      <c r="M266" s="87"/>
      <c r="N266" s="87"/>
      <c r="O266" s="87"/>
      <c r="P266" s="88"/>
    </row>
    <row r="267" spans="1:16">
      <c r="A267" s="85"/>
      <c r="B267" s="86"/>
      <c r="C267" s="86"/>
      <c r="D267" s="87"/>
      <c r="E267" s="87"/>
      <c r="F267" s="87"/>
      <c r="G267" s="87"/>
      <c r="H267" s="87"/>
      <c r="I267" s="87"/>
      <c r="J267" s="87"/>
      <c r="K267" s="87"/>
      <c r="L267" s="87"/>
      <c r="M267" s="87"/>
      <c r="N267" s="87"/>
      <c r="O267" s="87"/>
      <c r="P267" s="88"/>
    </row>
    <row r="268" spans="1:16">
      <c r="A268" s="85"/>
      <c r="B268" s="86"/>
      <c r="C268" s="86"/>
      <c r="D268" s="87"/>
      <c r="E268" s="87"/>
      <c r="F268" s="87"/>
      <c r="G268" s="87"/>
      <c r="H268" s="87"/>
      <c r="I268" s="87"/>
      <c r="J268" s="87"/>
      <c r="K268" s="87"/>
      <c r="L268" s="87"/>
      <c r="M268" s="87"/>
      <c r="N268" s="87"/>
      <c r="O268" s="87"/>
      <c r="P268" s="88"/>
    </row>
    <row r="269" spans="1:16">
      <c r="A269" s="85"/>
      <c r="B269" s="86"/>
      <c r="C269" s="86"/>
      <c r="D269" s="87"/>
      <c r="E269" s="87"/>
      <c r="F269" s="87"/>
      <c r="G269" s="87"/>
      <c r="H269" s="87"/>
      <c r="I269" s="87"/>
      <c r="J269" s="87"/>
      <c r="K269" s="87"/>
      <c r="L269" s="87"/>
      <c r="M269" s="87"/>
      <c r="N269" s="87"/>
      <c r="O269" s="87"/>
      <c r="P269" s="88"/>
    </row>
    <row r="270" spans="1:16">
      <c r="A270" s="85"/>
      <c r="B270" s="86"/>
      <c r="C270" s="86"/>
      <c r="D270" s="87"/>
      <c r="E270" s="87"/>
      <c r="F270" s="87"/>
      <c r="G270" s="87"/>
      <c r="H270" s="87"/>
      <c r="I270" s="87"/>
      <c r="J270" s="87"/>
      <c r="K270" s="87"/>
      <c r="L270" s="87"/>
      <c r="M270" s="87"/>
      <c r="N270" s="87"/>
      <c r="O270" s="87"/>
      <c r="P270" s="88"/>
    </row>
    <row r="271" spans="1:16">
      <c r="A271" s="85"/>
      <c r="B271" s="86"/>
      <c r="C271" s="86"/>
      <c r="D271" s="87"/>
      <c r="E271" s="87"/>
      <c r="F271" s="87"/>
      <c r="G271" s="87"/>
      <c r="H271" s="87"/>
      <c r="I271" s="87"/>
      <c r="J271" s="87"/>
      <c r="K271" s="87"/>
      <c r="L271" s="87"/>
      <c r="M271" s="87"/>
      <c r="N271" s="87"/>
      <c r="O271" s="87"/>
      <c r="P271" s="88"/>
    </row>
    <row r="272" spans="1:16">
      <c r="A272" s="85"/>
      <c r="B272" s="86"/>
      <c r="C272" s="86"/>
      <c r="D272" s="87"/>
      <c r="E272" s="87"/>
      <c r="F272" s="87"/>
      <c r="G272" s="87"/>
      <c r="H272" s="87"/>
      <c r="I272" s="87"/>
      <c r="J272" s="87"/>
      <c r="K272" s="87"/>
      <c r="L272" s="87"/>
      <c r="M272" s="87"/>
      <c r="N272" s="87"/>
      <c r="O272" s="87"/>
      <c r="P272" s="88"/>
    </row>
    <row r="273" spans="1:16">
      <c r="A273" s="85"/>
      <c r="B273" s="86"/>
      <c r="C273" s="86"/>
      <c r="D273" s="87"/>
      <c r="E273" s="87"/>
      <c r="F273" s="87"/>
      <c r="G273" s="87"/>
      <c r="H273" s="87"/>
      <c r="I273" s="87"/>
      <c r="J273" s="87"/>
      <c r="K273" s="87"/>
      <c r="L273" s="87"/>
      <c r="M273" s="87"/>
      <c r="N273" s="87"/>
      <c r="O273" s="87"/>
      <c r="P273" s="88"/>
    </row>
    <row r="274" spans="1:16">
      <c r="A274" s="85"/>
      <c r="B274" s="86"/>
      <c r="C274" s="86"/>
      <c r="D274" s="87"/>
      <c r="E274" s="87"/>
      <c r="F274" s="87"/>
      <c r="G274" s="87"/>
      <c r="H274" s="87"/>
      <c r="I274" s="87"/>
      <c r="J274" s="87"/>
      <c r="K274" s="87"/>
      <c r="L274" s="87"/>
      <c r="M274" s="87"/>
      <c r="N274" s="87"/>
      <c r="O274" s="87"/>
      <c r="P274" s="88"/>
    </row>
    <row r="275" spans="1:16">
      <c r="A275" s="85"/>
      <c r="B275" s="86"/>
      <c r="C275" s="86"/>
      <c r="D275" s="87"/>
      <c r="E275" s="87"/>
      <c r="F275" s="87"/>
      <c r="G275" s="87"/>
      <c r="H275" s="87"/>
      <c r="I275" s="87"/>
      <c r="J275" s="87"/>
      <c r="K275" s="87"/>
      <c r="L275" s="87"/>
      <c r="M275" s="87"/>
      <c r="N275" s="87"/>
      <c r="O275" s="87"/>
      <c r="P275" s="88"/>
    </row>
    <row r="276" spans="1:16">
      <c r="A276" s="85"/>
      <c r="B276" s="86"/>
      <c r="C276" s="86"/>
      <c r="D276" s="87"/>
      <c r="E276" s="87"/>
      <c r="F276" s="87"/>
      <c r="G276" s="87"/>
      <c r="H276" s="87"/>
      <c r="I276" s="87"/>
      <c r="J276" s="87"/>
      <c r="K276" s="87"/>
      <c r="L276" s="87"/>
      <c r="M276" s="87"/>
      <c r="N276" s="87"/>
      <c r="O276" s="87"/>
      <c r="P276" s="88"/>
    </row>
    <row r="277" spans="1:16">
      <c r="A277" s="85"/>
      <c r="B277" s="86"/>
      <c r="C277" s="86"/>
      <c r="D277" s="87"/>
      <c r="E277" s="87"/>
      <c r="F277" s="87"/>
      <c r="G277" s="87"/>
      <c r="H277" s="87"/>
      <c r="I277" s="87"/>
      <c r="J277" s="87"/>
      <c r="K277" s="87"/>
      <c r="L277" s="87"/>
      <c r="M277" s="87"/>
      <c r="N277" s="87"/>
      <c r="O277" s="87"/>
      <c r="P277" s="88"/>
    </row>
    <row r="278" spans="1:16">
      <c r="A278" s="85"/>
      <c r="B278" s="86"/>
      <c r="C278" s="86"/>
      <c r="D278" s="87"/>
      <c r="E278" s="87"/>
      <c r="F278" s="87"/>
      <c r="G278" s="87"/>
      <c r="H278" s="87"/>
      <c r="I278" s="87"/>
      <c r="J278" s="87"/>
      <c r="K278" s="87"/>
      <c r="L278" s="87"/>
      <c r="M278" s="87"/>
      <c r="N278" s="87"/>
      <c r="O278" s="87"/>
      <c r="P278" s="88"/>
    </row>
    <row r="279" spans="1:16">
      <c r="A279" s="85"/>
      <c r="B279" s="86"/>
      <c r="C279" s="86"/>
      <c r="D279" s="87"/>
      <c r="E279" s="87"/>
      <c r="F279" s="87"/>
      <c r="G279" s="87"/>
      <c r="H279" s="87"/>
      <c r="I279" s="87"/>
      <c r="J279" s="87"/>
      <c r="K279" s="87"/>
      <c r="L279" s="87"/>
      <c r="M279" s="87"/>
      <c r="N279" s="87"/>
      <c r="O279" s="87"/>
      <c r="P279" s="88"/>
    </row>
    <row r="280" spans="1:16">
      <c r="A280" s="85"/>
      <c r="B280" s="86"/>
      <c r="C280" s="86"/>
      <c r="D280" s="87"/>
      <c r="E280" s="87"/>
      <c r="F280" s="87"/>
      <c r="G280" s="87"/>
      <c r="H280" s="87"/>
      <c r="I280" s="87"/>
      <c r="J280" s="87"/>
      <c r="K280" s="87"/>
      <c r="L280" s="87"/>
      <c r="M280" s="87"/>
      <c r="N280" s="87"/>
      <c r="O280" s="87"/>
      <c r="P280" s="88"/>
    </row>
    <row r="281" spans="1:16">
      <c r="A281" s="85"/>
      <c r="B281" s="86"/>
      <c r="C281" s="86"/>
      <c r="D281" s="87"/>
      <c r="E281" s="87"/>
      <c r="F281" s="87"/>
      <c r="G281" s="87"/>
      <c r="H281" s="87"/>
      <c r="I281" s="87"/>
      <c r="J281" s="87"/>
      <c r="K281" s="87"/>
      <c r="L281" s="87"/>
      <c r="M281" s="87"/>
      <c r="N281" s="87"/>
      <c r="O281" s="87"/>
      <c r="P281" s="88"/>
    </row>
    <row r="282" spans="1:16">
      <c r="A282" s="85"/>
      <c r="B282" s="86"/>
      <c r="C282" s="86"/>
      <c r="D282" s="87"/>
      <c r="E282" s="87"/>
      <c r="F282" s="87"/>
      <c r="G282" s="87"/>
      <c r="H282" s="87"/>
      <c r="I282" s="87"/>
      <c r="J282" s="87"/>
      <c r="K282" s="87"/>
      <c r="L282" s="87"/>
      <c r="M282" s="87"/>
      <c r="N282" s="87"/>
      <c r="O282" s="87"/>
      <c r="P282" s="88"/>
    </row>
    <row r="283" spans="1:16">
      <c r="A283" s="85"/>
      <c r="B283" s="86"/>
      <c r="C283" s="86"/>
      <c r="D283" s="87"/>
      <c r="E283" s="87"/>
      <c r="F283" s="87"/>
      <c r="G283" s="87"/>
      <c r="H283" s="87"/>
      <c r="I283" s="87"/>
      <c r="J283" s="87"/>
      <c r="K283" s="87"/>
      <c r="L283" s="87"/>
      <c r="M283" s="87"/>
      <c r="N283" s="87"/>
      <c r="O283" s="87"/>
      <c r="P283" s="88"/>
    </row>
    <row r="284" spans="1:16">
      <c r="A284" s="85"/>
      <c r="B284" s="86"/>
      <c r="C284" s="86"/>
      <c r="D284" s="87"/>
      <c r="E284" s="87"/>
      <c r="F284" s="87"/>
      <c r="G284" s="87"/>
      <c r="H284" s="87"/>
      <c r="I284" s="87"/>
      <c r="J284" s="87"/>
      <c r="K284" s="87"/>
      <c r="L284" s="87"/>
      <c r="M284" s="87"/>
      <c r="N284" s="87"/>
      <c r="O284" s="87"/>
      <c r="P284" s="88"/>
    </row>
    <row r="285" spans="1:16">
      <c r="A285" s="85"/>
      <c r="B285" s="86"/>
      <c r="C285" s="86"/>
      <c r="D285" s="87"/>
      <c r="E285" s="87"/>
      <c r="F285" s="87"/>
      <c r="G285" s="87"/>
      <c r="H285" s="87"/>
      <c r="I285" s="87"/>
      <c r="J285" s="87"/>
      <c r="K285" s="87"/>
      <c r="L285" s="87"/>
      <c r="M285" s="87"/>
      <c r="N285" s="87"/>
      <c r="O285" s="87"/>
      <c r="P285" s="88"/>
    </row>
    <row r="286" spans="1:16">
      <c r="A286" s="85"/>
      <c r="B286" s="86"/>
      <c r="C286" s="86"/>
      <c r="D286" s="87"/>
      <c r="E286" s="87"/>
      <c r="F286" s="87"/>
      <c r="G286" s="87"/>
      <c r="H286" s="87"/>
      <c r="I286" s="87"/>
      <c r="J286" s="87"/>
      <c r="K286" s="87"/>
      <c r="L286" s="87"/>
      <c r="M286" s="87"/>
      <c r="N286" s="87"/>
      <c r="O286" s="87"/>
      <c r="P286" s="88"/>
    </row>
    <row r="287" spans="1:16">
      <c r="A287" s="85"/>
      <c r="B287" s="86"/>
      <c r="C287" s="86"/>
      <c r="D287" s="87"/>
      <c r="E287" s="87"/>
      <c r="F287" s="87"/>
      <c r="G287" s="87"/>
      <c r="H287" s="87"/>
      <c r="I287" s="87"/>
      <c r="J287" s="87"/>
      <c r="K287" s="87"/>
      <c r="L287" s="87"/>
      <c r="M287" s="87"/>
      <c r="N287" s="87"/>
      <c r="O287" s="87"/>
      <c r="P287" s="88"/>
    </row>
    <row r="288" spans="1:16">
      <c r="A288" s="85"/>
      <c r="B288" s="86"/>
      <c r="C288" s="86"/>
      <c r="D288" s="87"/>
      <c r="E288" s="87"/>
      <c r="F288" s="87"/>
      <c r="G288" s="87"/>
      <c r="H288" s="87"/>
      <c r="I288" s="87"/>
      <c r="J288" s="87"/>
      <c r="K288" s="87"/>
      <c r="L288" s="87"/>
      <c r="M288" s="87"/>
      <c r="N288" s="87"/>
      <c r="O288" s="87"/>
      <c r="P288" s="88"/>
    </row>
    <row r="289" spans="1:16">
      <c r="A289" s="85"/>
      <c r="B289" s="86"/>
      <c r="C289" s="86"/>
      <c r="D289" s="87"/>
      <c r="E289" s="87"/>
      <c r="F289" s="87"/>
      <c r="G289" s="87"/>
      <c r="H289" s="87"/>
      <c r="I289" s="87"/>
      <c r="J289" s="87"/>
      <c r="K289" s="87"/>
      <c r="L289" s="87"/>
      <c r="M289" s="87"/>
      <c r="N289" s="87"/>
      <c r="O289" s="87"/>
      <c r="P289" s="88"/>
    </row>
    <row r="290" spans="1:16">
      <c r="A290" s="85"/>
      <c r="B290" s="86"/>
      <c r="C290" s="86"/>
      <c r="D290" s="87"/>
      <c r="E290" s="87"/>
      <c r="F290" s="87"/>
      <c r="G290" s="87"/>
      <c r="H290" s="87"/>
      <c r="I290" s="87"/>
      <c r="J290" s="87"/>
      <c r="K290" s="87"/>
      <c r="L290" s="87"/>
      <c r="M290" s="87"/>
      <c r="N290" s="87"/>
      <c r="O290" s="87"/>
      <c r="P290" s="88"/>
    </row>
    <row r="291" spans="1:16">
      <c r="A291" s="85"/>
      <c r="B291" s="86"/>
      <c r="C291" s="86"/>
      <c r="D291" s="87"/>
      <c r="E291" s="87"/>
      <c r="F291" s="87"/>
      <c r="G291" s="87"/>
      <c r="H291" s="87"/>
      <c r="I291" s="87"/>
      <c r="J291" s="87"/>
      <c r="K291" s="87"/>
      <c r="L291" s="87"/>
      <c r="M291" s="87"/>
      <c r="N291" s="87"/>
      <c r="O291" s="87"/>
      <c r="P291" s="88"/>
    </row>
    <row r="292" spans="1:16">
      <c r="A292" s="85"/>
      <c r="B292" s="86"/>
      <c r="C292" s="86"/>
      <c r="D292" s="87"/>
      <c r="E292" s="87"/>
      <c r="F292" s="87"/>
      <c r="G292" s="87"/>
      <c r="H292" s="87"/>
      <c r="I292" s="87"/>
      <c r="J292" s="87"/>
      <c r="K292" s="87"/>
      <c r="L292" s="87"/>
      <c r="M292" s="87"/>
      <c r="N292" s="87"/>
      <c r="O292" s="87"/>
      <c r="P292" s="88"/>
    </row>
    <row r="293" spans="1:16">
      <c r="A293" s="85"/>
      <c r="B293" s="86"/>
      <c r="C293" s="86"/>
      <c r="D293" s="87"/>
      <c r="E293" s="87"/>
      <c r="F293" s="87"/>
      <c r="G293" s="87"/>
      <c r="H293" s="87"/>
      <c r="I293" s="87"/>
      <c r="J293" s="87"/>
      <c r="K293" s="87"/>
      <c r="L293" s="87"/>
      <c r="M293" s="87"/>
      <c r="N293" s="87"/>
      <c r="O293" s="87"/>
      <c r="P293" s="88"/>
    </row>
    <row r="294" spans="1:16">
      <c r="A294" s="85"/>
      <c r="B294" s="86"/>
      <c r="C294" s="86"/>
      <c r="D294" s="87"/>
      <c r="E294" s="87"/>
      <c r="F294" s="87"/>
      <c r="G294" s="87"/>
      <c r="H294" s="87"/>
      <c r="I294" s="87"/>
      <c r="J294" s="87"/>
      <c r="K294" s="87"/>
      <c r="L294" s="87"/>
      <c r="M294" s="87"/>
      <c r="N294" s="87"/>
      <c r="O294" s="87"/>
      <c r="P294" s="88"/>
    </row>
    <row r="295" spans="1:16">
      <c r="A295" s="85"/>
      <c r="B295" s="86"/>
      <c r="C295" s="86"/>
      <c r="D295" s="87"/>
      <c r="E295" s="87"/>
      <c r="F295" s="87"/>
      <c r="G295" s="87"/>
      <c r="H295" s="87"/>
      <c r="I295" s="87"/>
      <c r="J295" s="87"/>
      <c r="K295" s="87"/>
      <c r="L295" s="87"/>
      <c r="M295" s="87"/>
      <c r="N295" s="87"/>
      <c r="O295" s="87"/>
      <c r="P295" s="88"/>
    </row>
  </sheetData>
  <mergeCells count="1">
    <mergeCell ref="C3:C42"/>
  </mergeCell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46"/>
  <sheetViews>
    <sheetView workbookViewId="0">
      <selection activeCell="C1" sqref="C1"/>
    </sheetView>
  </sheetViews>
  <sheetFormatPr baseColWidth="10" defaultColWidth="9.28515625" defaultRowHeight="13" x14ac:dyDescent="0"/>
  <cols>
    <col min="1" max="1" width="4.28515625" style="414" customWidth="1"/>
    <col min="2" max="2" width="55.5703125" style="405" customWidth="1"/>
    <col min="3" max="5" width="12.28515625" style="405" customWidth="1"/>
    <col min="6" max="8" width="12" style="405" customWidth="1"/>
    <col min="9" max="9" width="61" style="405" bestFit="1" customWidth="1"/>
    <col min="10" max="16384" width="9.28515625" style="405"/>
  </cols>
  <sheetData>
    <row r="1" spans="1:9" ht="18" customHeight="1">
      <c r="A1" s="402">
        <v>1</v>
      </c>
      <c r="B1" s="403" t="s">
        <v>383</v>
      </c>
      <c r="C1" s="404" t="s">
        <v>384</v>
      </c>
      <c r="D1" s="404" t="s">
        <v>385</v>
      </c>
      <c r="E1" s="404" t="s">
        <v>386</v>
      </c>
      <c r="F1" s="404" t="s">
        <v>405</v>
      </c>
      <c r="G1" s="404"/>
      <c r="H1" s="404"/>
      <c r="I1" s="405" t="s">
        <v>406</v>
      </c>
    </row>
    <row r="2" spans="1:9" ht="18" customHeight="1">
      <c r="A2" s="402">
        <v>2</v>
      </c>
      <c r="B2" s="406" t="s">
        <v>387</v>
      </c>
      <c r="C2" s="407" t="s">
        <v>288</v>
      </c>
      <c r="D2" s="407" t="s">
        <v>283</v>
      </c>
      <c r="E2" s="407" t="s">
        <v>288</v>
      </c>
      <c r="F2" s="407" t="s">
        <v>288</v>
      </c>
      <c r="G2" s="407"/>
      <c r="H2" s="407"/>
    </row>
    <row r="3" spans="1:9" ht="18" customHeight="1">
      <c r="A3" s="402">
        <v>3</v>
      </c>
      <c r="B3" s="408" t="s">
        <v>388</v>
      </c>
      <c r="C3" s="409">
        <f t="shared" ref="C3:H3" si="0">325699*(C$2="L")+290311*(C$2="B")*OR(C2="L",C2="B")</f>
        <v>325699</v>
      </c>
      <c r="D3" s="409">
        <f t="shared" si="0"/>
        <v>290311</v>
      </c>
      <c r="E3" s="409">
        <f t="shared" si="0"/>
        <v>325699</v>
      </c>
      <c r="F3" s="409">
        <f t="shared" si="0"/>
        <v>325699</v>
      </c>
      <c r="G3" s="409">
        <f t="shared" si="0"/>
        <v>0</v>
      </c>
      <c r="H3" s="409">
        <f t="shared" si="0"/>
        <v>0</v>
      </c>
    </row>
    <row r="4" spans="1:9" ht="18" customHeight="1">
      <c r="A4" s="402">
        <v>4</v>
      </c>
      <c r="B4" s="408" t="s">
        <v>389</v>
      </c>
      <c r="C4" s="410"/>
      <c r="D4" s="410">
        <v>12500</v>
      </c>
      <c r="E4" s="410">
        <v>0</v>
      </c>
      <c r="F4" s="410">
        <v>19600</v>
      </c>
      <c r="G4" s="410"/>
      <c r="H4" s="410"/>
      <c r="I4" s="405" t="s">
        <v>407</v>
      </c>
    </row>
    <row r="5" spans="1:9" ht="18" customHeight="1">
      <c r="A5" s="402">
        <v>5</v>
      </c>
      <c r="B5" s="408" t="s">
        <v>390</v>
      </c>
      <c r="C5" s="410">
        <v>6000</v>
      </c>
      <c r="D5" s="410">
        <v>4000</v>
      </c>
      <c r="E5" s="410">
        <v>26287</v>
      </c>
      <c r="F5" s="410">
        <v>10342.219999999999</v>
      </c>
      <c r="G5" s="410"/>
      <c r="H5" s="410"/>
      <c r="I5" s="405" t="s">
        <v>408</v>
      </c>
    </row>
    <row r="6" spans="1:9" ht="18" customHeight="1">
      <c r="A6" s="402">
        <v>6</v>
      </c>
      <c r="B6" s="408" t="s">
        <v>391</v>
      </c>
      <c r="C6" s="410"/>
      <c r="D6" s="410"/>
      <c r="E6" s="410">
        <v>14400</v>
      </c>
      <c r="F6" s="410">
        <v>14400</v>
      </c>
      <c r="G6" s="410"/>
      <c r="H6" s="410"/>
      <c r="I6" s="405" t="s">
        <v>408</v>
      </c>
    </row>
    <row r="7" spans="1:9" ht="18" customHeight="1">
      <c r="A7" s="402">
        <v>7</v>
      </c>
      <c r="B7" s="408" t="s">
        <v>392</v>
      </c>
      <c r="C7" s="410">
        <f>894.51/1.01304*12</f>
        <v>10595.948827292112</v>
      </c>
      <c r="D7" s="410"/>
      <c r="E7" s="410"/>
      <c r="F7" s="410"/>
      <c r="G7" s="410"/>
      <c r="H7" s="410"/>
      <c r="I7" s="405" t="s">
        <v>408</v>
      </c>
    </row>
    <row r="8" spans="1:9" ht="18" customHeight="1">
      <c r="A8" s="402">
        <v>8</v>
      </c>
      <c r="B8" s="408" t="s">
        <v>393</v>
      </c>
      <c r="C8" s="410">
        <v>3000</v>
      </c>
      <c r="D8" s="410"/>
      <c r="E8" s="410"/>
      <c r="F8" s="410"/>
      <c r="G8" s="410"/>
      <c r="H8" s="410"/>
      <c r="I8" s="405" t="s">
        <v>408</v>
      </c>
    </row>
    <row r="9" spans="1:9" ht="18" customHeight="1">
      <c r="A9" s="402">
        <v>9</v>
      </c>
      <c r="B9" s="408" t="s">
        <v>409</v>
      </c>
      <c r="C9" s="411">
        <f t="shared" ref="C9:H9" si="1">IF(C11-SUM(C3:C6)&gt;0,C11-SUM(C3:C6),0)*OR(C2="L",C2="B")</f>
        <v>19689</v>
      </c>
      <c r="D9" s="411">
        <f t="shared" si="1"/>
        <v>2243</v>
      </c>
      <c r="E9" s="411">
        <f t="shared" si="1"/>
        <v>0</v>
      </c>
      <c r="F9" s="411">
        <f t="shared" si="1"/>
        <v>0</v>
      </c>
      <c r="G9" s="411">
        <f t="shared" si="1"/>
        <v>0</v>
      </c>
      <c r="H9" s="411">
        <f t="shared" si="1"/>
        <v>0</v>
      </c>
      <c r="I9" s="405" t="s">
        <v>410</v>
      </c>
    </row>
    <row r="10" spans="1:9" ht="18" customHeight="1">
      <c r="A10" s="402">
        <v>10</v>
      </c>
      <c r="B10" s="408" t="s">
        <v>411</v>
      </c>
      <c r="C10" s="411">
        <f t="shared" ref="C10:H10" si="2">IF(7900-C9&gt;0,7900-C9,0)*OR(C2="L",C2="B")</f>
        <v>0</v>
      </c>
      <c r="D10" s="411">
        <f t="shared" si="2"/>
        <v>5657</v>
      </c>
      <c r="E10" s="411">
        <f t="shared" si="2"/>
        <v>7900</v>
      </c>
      <c r="F10" s="411">
        <f t="shared" si="2"/>
        <v>7900</v>
      </c>
      <c r="G10" s="411">
        <f t="shared" si="2"/>
        <v>0</v>
      </c>
      <c r="H10" s="411">
        <f t="shared" si="2"/>
        <v>0</v>
      </c>
      <c r="I10" s="405" t="s">
        <v>410</v>
      </c>
    </row>
    <row r="11" spans="1:9" ht="22" customHeight="1">
      <c r="A11" s="402">
        <v>11</v>
      </c>
      <c r="B11" s="412" t="s">
        <v>394</v>
      </c>
      <c r="C11" s="413">
        <f t="shared" ref="C11:H11" si="3">351388*(C$2="L")+309054*(C$2="B")</f>
        <v>351388</v>
      </c>
      <c r="D11" s="413">
        <f t="shared" si="3"/>
        <v>309054</v>
      </c>
      <c r="E11" s="413">
        <f t="shared" si="3"/>
        <v>351388</v>
      </c>
      <c r="F11" s="413">
        <f t="shared" si="3"/>
        <v>351388</v>
      </c>
      <c r="G11" s="413">
        <f t="shared" si="3"/>
        <v>0</v>
      </c>
      <c r="H11" s="413">
        <f t="shared" si="3"/>
        <v>0</v>
      </c>
      <c r="I11" s="405" t="s">
        <v>412</v>
      </c>
    </row>
    <row r="12" spans="1:9" ht="31" customHeight="1">
      <c r="A12" s="402">
        <v>12</v>
      </c>
      <c r="B12" s="412" t="s">
        <v>395</v>
      </c>
      <c r="C12" s="413">
        <f t="shared" ref="C12:H12" si="4">IF(SUM(C3:C10)-C11&gt;0,SUM(C3:C10)-C11,0)</f>
        <v>13595.94882729213</v>
      </c>
      <c r="D12" s="413">
        <f t="shared" si="4"/>
        <v>5657</v>
      </c>
      <c r="E12" s="413">
        <f t="shared" si="4"/>
        <v>22898</v>
      </c>
      <c r="F12" s="413">
        <f t="shared" si="4"/>
        <v>26553.219999999972</v>
      </c>
      <c r="G12" s="413">
        <f t="shared" si="4"/>
        <v>0</v>
      </c>
      <c r="H12" s="413">
        <f t="shared" si="4"/>
        <v>0</v>
      </c>
      <c r="I12" s="433" t="s">
        <v>434</v>
      </c>
    </row>
    <row r="13" spans="1:9" ht="19" customHeight="1">
      <c r="B13" s="405" t="s">
        <v>396</v>
      </c>
      <c r="C13" s="415"/>
      <c r="D13" s="415"/>
      <c r="E13" s="415"/>
      <c r="F13" s="415"/>
      <c r="G13" s="415"/>
      <c r="H13" s="415"/>
    </row>
    <row r="14" spans="1:9">
      <c r="B14" s="405" t="s">
        <v>413</v>
      </c>
      <c r="C14" s="415"/>
      <c r="D14" s="415"/>
      <c r="E14" s="415"/>
      <c r="F14" s="415"/>
      <c r="G14" s="415"/>
      <c r="H14" s="415"/>
    </row>
    <row r="15" spans="1:9" ht="22" customHeight="1">
      <c r="A15" s="402">
        <v>13</v>
      </c>
      <c r="B15" s="412" t="s">
        <v>414</v>
      </c>
      <c r="C15" s="429">
        <v>0.8</v>
      </c>
      <c r="D15" s="429">
        <v>1</v>
      </c>
      <c r="E15" s="429">
        <v>1</v>
      </c>
      <c r="F15" s="429">
        <v>1</v>
      </c>
      <c r="G15" s="429"/>
      <c r="H15" s="429"/>
    </row>
    <row r="16" spans="1:9" ht="22" customHeight="1">
      <c r="A16" s="402">
        <v>14</v>
      </c>
      <c r="B16" s="412" t="s">
        <v>415</v>
      </c>
      <c r="C16" s="413">
        <f t="shared" ref="C16:E17" si="5">C11*C$15*1.01304/12</f>
        <v>23731.339968</v>
      </c>
      <c r="D16" s="413">
        <f t="shared" si="5"/>
        <v>26090.338680000001</v>
      </c>
      <c r="E16" s="413">
        <f t="shared" si="5"/>
        <v>29664.17496</v>
      </c>
      <c r="F16" s="413">
        <f t="shared" ref="F16:H17" si="6">F11*F$15*1.01304/12</f>
        <v>29664.17496</v>
      </c>
      <c r="G16" s="413">
        <f t="shared" si="6"/>
        <v>0</v>
      </c>
      <c r="H16" s="413">
        <f t="shared" si="6"/>
        <v>0</v>
      </c>
    </row>
    <row r="17" spans="1:8" ht="22" customHeight="1">
      <c r="A17" s="402">
        <v>15</v>
      </c>
      <c r="B17" s="412" t="s">
        <v>416</v>
      </c>
      <c r="C17" s="413">
        <f t="shared" si="5"/>
        <v>918.21600000000137</v>
      </c>
      <c r="D17" s="413">
        <f t="shared" si="5"/>
        <v>477.56394</v>
      </c>
      <c r="E17" s="413">
        <f t="shared" si="5"/>
        <v>1933.0491599999998</v>
      </c>
      <c r="F17" s="413">
        <f t="shared" si="6"/>
        <v>2241.6228323999976</v>
      </c>
      <c r="G17" s="413">
        <f t="shared" si="6"/>
        <v>0</v>
      </c>
      <c r="H17" s="413">
        <f t="shared" si="6"/>
        <v>0</v>
      </c>
    </row>
    <row r="18" spans="1:8">
      <c r="C18" s="415"/>
      <c r="D18" s="415"/>
      <c r="E18" s="415"/>
      <c r="F18" s="415"/>
      <c r="G18" s="415"/>
      <c r="H18" s="415"/>
    </row>
    <row r="19" spans="1:8">
      <c r="B19" s="430" t="s">
        <v>419</v>
      </c>
      <c r="C19" s="415"/>
      <c r="D19" s="415"/>
      <c r="E19" s="415"/>
      <c r="F19" s="415"/>
      <c r="G19" s="415"/>
      <c r="H19" s="415"/>
    </row>
    <row r="20" spans="1:8">
      <c r="B20" s="430"/>
      <c r="C20" s="415"/>
      <c r="D20" s="415"/>
      <c r="E20" s="415"/>
      <c r="F20" s="415"/>
      <c r="G20" s="415"/>
      <c r="H20" s="415"/>
    </row>
    <row r="21" spans="1:8">
      <c r="B21" s="431" t="s">
        <v>420</v>
      </c>
      <c r="C21" s="415"/>
      <c r="D21" s="415"/>
      <c r="E21" s="415"/>
      <c r="F21" s="415"/>
      <c r="G21" s="415"/>
      <c r="H21" s="415"/>
    </row>
    <row r="22" spans="1:8" ht="26">
      <c r="B22" s="432" t="s">
        <v>421</v>
      </c>
    </row>
    <row r="23" spans="1:8">
      <c r="B23" s="432"/>
    </row>
    <row r="24" spans="1:8" ht="52">
      <c r="B24" s="432" t="s">
        <v>422</v>
      </c>
    </row>
    <row r="25" spans="1:8">
      <c r="B25" s="432"/>
    </row>
    <row r="26" spans="1:8" ht="91">
      <c r="B26" s="432" t="s">
        <v>423</v>
      </c>
    </row>
    <row r="27" spans="1:8">
      <c r="B27" s="432"/>
    </row>
    <row r="28" spans="1:8" ht="78">
      <c r="B28" s="432" t="s">
        <v>424</v>
      </c>
    </row>
    <row r="29" spans="1:8">
      <c r="B29" s="432"/>
    </row>
    <row r="30" spans="1:8" ht="52">
      <c r="B30" s="432" t="s">
        <v>425</v>
      </c>
    </row>
    <row r="31" spans="1:8">
      <c r="B31" s="432"/>
    </row>
    <row r="32" spans="1:8" ht="91">
      <c r="B32" s="432" t="s">
        <v>426</v>
      </c>
    </row>
    <row r="33" spans="2:2">
      <c r="B33" s="432"/>
    </row>
    <row r="34" spans="2:2">
      <c r="B34" s="431" t="s">
        <v>427</v>
      </c>
    </row>
    <row r="35" spans="2:2" ht="117">
      <c r="B35" s="432" t="s">
        <v>428</v>
      </c>
    </row>
    <row r="36" spans="2:2">
      <c r="B36" s="432"/>
    </row>
    <row r="37" spans="2:2">
      <c r="B37" s="431" t="s">
        <v>429</v>
      </c>
    </row>
    <row r="38" spans="2:2" ht="26">
      <c r="B38" s="432" t="s">
        <v>430</v>
      </c>
    </row>
    <row r="39" spans="2:2">
      <c r="B39" s="432"/>
    </row>
    <row r="40" spans="2:2" ht="104">
      <c r="B40" s="432" t="s">
        <v>431</v>
      </c>
    </row>
    <row r="41" spans="2:2">
      <c r="B41" s="432"/>
    </row>
    <row r="42" spans="2:2" ht="65">
      <c r="B42" s="432" t="s">
        <v>432</v>
      </c>
    </row>
    <row r="43" spans="2:2">
      <c r="B43" s="432"/>
    </row>
    <row r="44" spans="2:2" ht="65">
      <c r="B44" s="432" t="s">
        <v>433</v>
      </c>
    </row>
    <row r="45" spans="2:2">
      <c r="B45" s="432"/>
    </row>
    <row r="46" spans="2:2">
      <c r="B46" s="432"/>
    </row>
  </sheetData>
  <sheetProtection sheet="1" objects="1" scenarios="1" formatCells="0" formatColumns="0" formatRows="0" insertColumns="0"/>
  <phoneticPr fontId="10" type="noConversion"/>
  <pageMargins left="0.75" right="0.75" top="1" bottom="1" header="0.5" footer="0.5"/>
  <pageSetup paperSize="9" scale="54" orientation="landscape" horizontalDpi="4294967292" verticalDpi="4294967292"/>
  <extLst>
    <ext xmlns:mx="http://schemas.microsoft.com/office/mac/excel/2008/main" uri="{64002731-A6B0-56B0-2670-7721B7C09600}">
      <mx:PLV Mode="0"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59999389629810485"/>
    <pageSetUpPr fitToPage="1"/>
  </sheetPr>
  <dimension ref="A1:V295"/>
  <sheetViews>
    <sheetView workbookViewId="0">
      <pane xSplit="3" ySplit="2" topLeftCell="E26" activePane="bottomRight" state="frozen"/>
      <selection activeCell="J42" sqref="J42"/>
      <selection pane="topRight" activeCell="J42" sqref="J42"/>
      <selection pane="bottomLeft" activeCell="J42" sqref="J42"/>
      <selection pane="bottomRight" activeCell="J42" sqref="J42"/>
    </sheetView>
  </sheetViews>
  <sheetFormatPr baseColWidth="10" defaultColWidth="20.85546875" defaultRowHeight="12" x14ac:dyDescent="0"/>
  <cols>
    <col min="1" max="1" width="3.5703125" style="23" customWidth="1"/>
    <col min="2" max="2" width="32.42578125" style="4" customWidth="1"/>
    <col min="3" max="3" width="10.140625" style="4" customWidth="1"/>
    <col min="4" max="15" width="9.7109375" style="25" customWidth="1"/>
    <col min="16" max="16" width="44.85546875" style="3" customWidth="1"/>
    <col min="17" max="17" width="9.7109375" style="127" customWidth="1"/>
    <col min="18" max="18" width="10.140625" style="127" customWidth="1"/>
    <col min="19" max="22" width="8.7109375" style="127" customWidth="1"/>
    <col min="23" max="16384" width="20.85546875" style="86"/>
  </cols>
  <sheetData>
    <row r="1" spans="1:22" ht="27" customHeight="1">
      <c r="A1" s="1">
        <v>1</v>
      </c>
      <c r="B1" s="64" t="s">
        <v>163</v>
      </c>
      <c r="C1" s="23" t="s">
        <v>381</v>
      </c>
      <c r="D1" s="81" t="s">
        <v>290</v>
      </c>
      <c r="E1" s="79" t="str">
        <f>D1</f>
        <v>NN</v>
      </c>
      <c r="F1" s="79" t="str">
        <f t="shared" ref="F1:O1" si="0">E1</f>
        <v>NN</v>
      </c>
      <c r="G1" s="79" t="str">
        <f t="shared" si="0"/>
        <v>NN</v>
      </c>
      <c r="H1" s="79" t="str">
        <f t="shared" si="0"/>
        <v>NN</v>
      </c>
      <c r="I1" s="79" t="str">
        <f t="shared" si="0"/>
        <v>NN</v>
      </c>
      <c r="J1" s="79" t="str">
        <f t="shared" si="0"/>
        <v>NN</v>
      </c>
      <c r="K1" s="79" t="str">
        <f t="shared" si="0"/>
        <v>NN</v>
      </c>
      <c r="L1" s="79" t="str">
        <f t="shared" si="0"/>
        <v>NN</v>
      </c>
      <c r="M1" s="79" t="str">
        <f t="shared" si="0"/>
        <v>NN</v>
      </c>
      <c r="N1" s="79" t="str">
        <f t="shared" si="0"/>
        <v>NN</v>
      </c>
      <c r="O1" s="79" t="str">
        <f t="shared" si="0"/>
        <v>NN</v>
      </c>
      <c r="P1" s="3" t="s">
        <v>198</v>
      </c>
      <c r="Q1" s="92"/>
      <c r="R1" s="92"/>
      <c r="S1" s="92"/>
      <c r="T1" s="92"/>
      <c r="U1" s="92"/>
      <c r="V1" s="92"/>
    </row>
    <row r="2" spans="1:22" ht="14" customHeight="1">
      <c r="A2" s="5">
        <f t="shared" ref="A2:A44" si="1">A1+1</f>
        <v>2</v>
      </c>
      <c r="B2" s="94" t="s">
        <v>44</v>
      </c>
      <c r="C2" s="242" t="s">
        <v>358</v>
      </c>
      <c r="D2" s="78" t="str">
        <f>"AUG 12"</f>
        <v>AUG 12</v>
      </c>
      <c r="E2" s="78" t="str">
        <f>"SEP12"</f>
        <v>SEP12</v>
      </c>
      <c r="F2" s="78" t="str">
        <f>"OKT 12"</f>
        <v>OKT 12</v>
      </c>
      <c r="G2" s="78" t="str">
        <f>"NOV 12"</f>
        <v>NOV 12</v>
      </c>
      <c r="H2" s="78" t="str">
        <f>"DEC 12"</f>
        <v>DEC 12</v>
      </c>
      <c r="I2" s="78" t="str">
        <f>"JAN 13"</f>
        <v>JAN 13</v>
      </c>
      <c r="J2" s="78" t="str">
        <f>"FEB 13"</f>
        <v>FEB 13</v>
      </c>
      <c r="K2" s="78" t="str">
        <f>"MAR 13"</f>
        <v>MAR 13</v>
      </c>
      <c r="L2" s="265" t="str">
        <f>"APR 13"</f>
        <v>APR 13</v>
      </c>
      <c r="M2" s="265" t="str">
        <f>"MAJ13"</f>
        <v>MAJ13</v>
      </c>
      <c r="N2" s="265" t="str">
        <f>"JUN 13"</f>
        <v>JUN 13</v>
      </c>
      <c r="O2" s="265" t="str">
        <f>"JUL 13"</f>
        <v>JUL 13</v>
      </c>
      <c r="P2" s="263" t="str">
        <f>Ex11_12!P2</f>
        <v>ansat 14. feb 10</v>
      </c>
      <c r="Q2" s="92"/>
      <c r="R2" s="92"/>
      <c r="S2" s="92"/>
      <c r="T2" s="92"/>
      <c r="U2" s="92"/>
      <c r="V2" s="92"/>
    </row>
    <row r="3" spans="1:22" ht="27" customHeight="1">
      <c r="A3" s="5">
        <f t="shared" si="1"/>
        <v>3</v>
      </c>
      <c r="B3" s="168" t="s">
        <v>45</v>
      </c>
      <c r="C3" s="642" t="s">
        <v>75</v>
      </c>
      <c r="D3" s="196">
        <v>1</v>
      </c>
      <c r="E3" s="246">
        <f>D3</f>
        <v>1</v>
      </c>
      <c r="F3" s="246">
        <f t="shared" ref="F3:O3" si="2">E3</f>
        <v>1</v>
      </c>
      <c r="G3" s="246">
        <f t="shared" si="2"/>
        <v>1</v>
      </c>
      <c r="H3" s="246">
        <f t="shared" si="2"/>
        <v>1</v>
      </c>
      <c r="I3" s="246">
        <f t="shared" si="2"/>
        <v>1</v>
      </c>
      <c r="J3" s="246">
        <f t="shared" si="2"/>
        <v>1</v>
      </c>
      <c r="K3" s="246">
        <f t="shared" si="2"/>
        <v>1</v>
      </c>
      <c r="L3" s="423">
        <v>0.13333333333333333</v>
      </c>
      <c r="M3" s="246">
        <f>K3</f>
        <v>1</v>
      </c>
      <c r="N3" s="246">
        <f t="shared" si="2"/>
        <v>1</v>
      </c>
      <c r="O3" s="246">
        <f t="shared" si="2"/>
        <v>1</v>
      </c>
      <c r="P3" s="7" t="s">
        <v>276</v>
      </c>
      <c r="Q3" s="92"/>
      <c r="R3" s="92"/>
      <c r="S3" s="92"/>
      <c r="T3" s="92"/>
      <c r="U3" s="92"/>
      <c r="V3" s="92"/>
    </row>
    <row r="4" spans="1:22" ht="14" customHeight="1">
      <c r="A4" s="5">
        <f t="shared" si="1"/>
        <v>4</v>
      </c>
      <c r="B4" s="169" t="s">
        <v>167</v>
      </c>
      <c r="C4" s="651"/>
      <c r="D4" s="418" t="s">
        <v>132</v>
      </c>
      <c r="E4" s="248" t="str">
        <f>D4</f>
        <v>Bh2</v>
      </c>
      <c r="F4" s="248" t="str">
        <f t="shared" ref="F4:O4" si="3">E4</f>
        <v>Bh2</v>
      </c>
      <c r="G4" s="248" t="str">
        <f t="shared" si="3"/>
        <v>Bh2</v>
      </c>
      <c r="H4" s="248" t="str">
        <f t="shared" si="3"/>
        <v>Bh2</v>
      </c>
      <c r="I4" s="248" t="str">
        <f t="shared" si="3"/>
        <v>Bh2</v>
      </c>
      <c r="J4" s="248" t="str">
        <f t="shared" si="3"/>
        <v>Bh2</v>
      </c>
      <c r="K4" s="248" t="str">
        <f t="shared" si="3"/>
        <v>Bh2</v>
      </c>
      <c r="L4" s="248" t="str">
        <f t="shared" si="3"/>
        <v>Bh2</v>
      </c>
      <c r="M4" s="248" t="str">
        <f t="shared" si="3"/>
        <v>Bh2</v>
      </c>
      <c r="N4" s="248" t="str">
        <f t="shared" si="3"/>
        <v>Bh2</v>
      </c>
      <c r="O4" s="248" t="str">
        <f t="shared" si="3"/>
        <v>Bh2</v>
      </c>
      <c r="P4" s="7" t="s">
        <v>216</v>
      </c>
      <c r="Q4" s="92"/>
      <c r="R4" s="92"/>
      <c r="S4" s="92"/>
      <c r="T4" s="92"/>
      <c r="U4" s="92"/>
      <c r="V4" s="92"/>
    </row>
    <row r="5" spans="1:22" ht="24" customHeight="1">
      <c r="A5" s="5">
        <f>A4+1</f>
        <v>5</v>
      </c>
      <c r="B5" s="170" t="s">
        <v>62</v>
      </c>
      <c r="C5" s="651"/>
      <c r="D5" s="197"/>
      <c r="E5" s="82" t="str">
        <f t="shared" ref="E5:J5" si="4">IF(D5&lt;&gt;"",D5,"")</f>
        <v/>
      </c>
      <c r="F5" s="82" t="str">
        <f t="shared" si="4"/>
        <v/>
      </c>
      <c r="G5" s="82" t="str">
        <f t="shared" si="4"/>
        <v/>
      </c>
      <c r="H5" s="82" t="str">
        <f t="shared" si="4"/>
        <v/>
      </c>
      <c r="I5" s="82" t="str">
        <f t="shared" si="4"/>
        <v/>
      </c>
      <c r="J5" s="82" t="str">
        <f t="shared" si="4"/>
        <v/>
      </c>
      <c r="K5" s="82" t="str">
        <f>IF(J5&lt;&gt;"",J5,"")</f>
        <v/>
      </c>
      <c r="L5" s="82" t="str">
        <f>IF(K5&lt;&gt;"",K5,"")</f>
        <v/>
      </c>
      <c r="M5" s="82" t="str">
        <f>IF(L5&lt;&gt;"",L5,"")</f>
        <v/>
      </c>
      <c r="N5" s="82" t="str">
        <f>IF(M5&lt;&gt;"",M5,"")</f>
        <v/>
      </c>
      <c r="O5" s="82" t="str">
        <f>IF(N5&lt;&gt;"",N5,"")</f>
        <v/>
      </c>
      <c r="P5" s="67" t="s">
        <v>63</v>
      </c>
      <c r="Q5" s="92"/>
      <c r="R5" s="92"/>
      <c r="S5" s="92"/>
      <c r="T5" s="92"/>
      <c r="U5" s="92"/>
      <c r="V5" s="92"/>
    </row>
    <row r="6" spans="1:22" ht="24" customHeight="1">
      <c r="A6" s="5">
        <f t="shared" si="1"/>
        <v>6</v>
      </c>
      <c r="B6" s="169" t="s">
        <v>123</v>
      </c>
      <c r="C6" s="651"/>
      <c r="D6" s="197" t="s">
        <v>288</v>
      </c>
      <c r="E6" s="80" t="str">
        <f>$D6</f>
        <v>L</v>
      </c>
      <c r="F6" s="80" t="str">
        <f t="shared" ref="F6:O8" si="5">$D6</f>
        <v>L</v>
      </c>
      <c r="G6" s="80" t="str">
        <f t="shared" si="5"/>
        <v>L</v>
      </c>
      <c r="H6" s="80" t="str">
        <f t="shared" si="5"/>
        <v>L</v>
      </c>
      <c r="I6" s="80" t="str">
        <f t="shared" si="5"/>
        <v>L</v>
      </c>
      <c r="J6" s="80" t="str">
        <f t="shared" si="5"/>
        <v>L</v>
      </c>
      <c r="K6" s="80" t="str">
        <f t="shared" si="5"/>
        <v>L</v>
      </c>
      <c r="L6" s="80" t="str">
        <f t="shared" si="5"/>
        <v>L</v>
      </c>
      <c r="M6" s="80" t="str">
        <f t="shared" si="5"/>
        <v>L</v>
      </c>
      <c r="N6" s="80" t="str">
        <f t="shared" si="5"/>
        <v>L</v>
      </c>
      <c r="O6" s="80" t="str">
        <f t="shared" si="5"/>
        <v>L</v>
      </c>
      <c r="P6" s="7" t="s">
        <v>18</v>
      </c>
      <c r="Q6" s="92"/>
      <c r="R6" s="92"/>
      <c r="S6" s="92"/>
      <c r="T6" s="92"/>
      <c r="U6" s="92"/>
      <c r="V6" s="92"/>
    </row>
    <row r="7" spans="1:22" ht="14" customHeight="1">
      <c r="A7" s="5">
        <f t="shared" si="1"/>
        <v>7</v>
      </c>
      <c r="B7" s="169" t="s">
        <v>223</v>
      </c>
      <c r="C7" s="651"/>
      <c r="D7" s="350">
        <v>1.0130399999999999</v>
      </c>
      <c r="E7" s="350">
        <v>1.0130399999999999</v>
      </c>
      <c r="F7" s="350">
        <v>1.0130399999999999</v>
      </c>
      <c r="G7" s="350">
        <v>1.0130399999999999</v>
      </c>
      <c r="H7" s="350">
        <v>1.0130399999999999</v>
      </c>
      <c r="I7" s="350">
        <v>1.0130399999999999</v>
      </c>
      <c r="J7" s="350">
        <v>1.0130399999999999</v>
      </c>
      <c r="K7" s="350">
        <v>1.0130399999999999</v>
      </c>
      <c r="L7" s="395">
        <v>1.0335000000000001</v>
      </c>
      <c r="M7" s="71">
        <f>L7</f>
        <v>1.0335000000000001</v>
      </c>
      <c r="N7" s="71">
        <f>M7</f>
        <v>1.0335000000000001</v>
      </c>
      <c r="O7" s="71">
        <f>N7</f>
        <v>1.0335000000000001</v>
      </c>
      <c r="P7" s="72" t="s">
        <v>195</v>
      </c>
      <c r="Q7" s="92"/>
      <c r="R7" s="92"/>
      <c r="S7" s="92"/>
      <c r="T7" s="92"/>
      <c r="U7" s="92"/>
      <c r="V7" s="92"/>
    </row>
    <row r="8" spans="1:22" ht="14" customHeight="1">
      <c r="A8" s="5">
        <f t="shared" si="1"/>
        <v>8</v>
      </c>
      <c r="B8" s="169" t="s">
        <v>139</v>
      </c>
      <c r="C8" s="651"/>
      <c r="D8" s="199">
        <v>3</v>
      </c>
      <c r="E8" s="80">
        <f>$D8</f>
        <v>3</v>
      </c>
      <c r="F8" s="80">
        <f t="shared" si="5"/>
        <v>3</v>
      </c>
      <c r="G8" s="80">
        <f t="shared" si="5"/>
        <v>3</v>
      </c>
      <c r="H8" s="80">
        <f t="shared" si="5"/>
        <v>3</v>
      </c>
      <c r="I8" s="80">
        <f t="shared" si="5"/>
        <v>3</v>
      </c>
      <c r="J8" s="80">
        <f t="shared" si="5"/>
        <v>3</v>
      </c>
      <c r="K8" s="80">
        <f t="shared" si="5"/>
        <v>3</v>
      </c>
      <c r="L8" s="80">
        <f t="shared" si="5"/>
        <v>3</v>
      </c>
      <c r="M8" s="80">
        <f t="shared" si="5"/>
        <v>3</v>
      </c>
      <c r="N8" s="80">
        <f t="shared" si="5"/>
        <v>3</v>
      </c>
      <c r="O8" s="80">
        <f t="shared" si="5"/>
        <v>3</v>
      </c>
      <c r="P8" s="3" t="s">
        <v>108</v>
      </c>
      <c r="Q8" s="92"/>
      <c r="R8" s="92"/>
      <c r="S8" s="92"/>
      <c r="T8" s="92"/>
      <c r="U8" s="92"/>
      <c r="V8" s="92"/>
    </row>
    <row r="9" spans="1:22" ht="24">
      <c r="A9" s="5">
        <f>A8+1</f>
        <v>9</v>
      </c>
      <c r="B9" s="169" t="s">
        <v>42</v>
      </c>
      <c r="C9" s="651"/>
      <c r="D9" s="151">
        <v>0.74</v>
      </c>
      <c r="E9" s="249">
        <f>D9</f>
        <v>0.74</v>
      </c>
      <c r="F9" s="249">
        <f t="shared" ref="F9:O12" si="6">E9</f>
        <v>0.74</v>
      </c>
      <c r="G9" s="249">
        <f t="shared" si="6"/>
        <v>0.74</v>
      </c>
      <c r="H9" s="249">
        <f t="shared" si="6"/>
        <v>0.74</v>
      </c>
      <c r="I9" s="249">
        <f t="shared" si="6"/>
        <v>0.74</v>
      </c>
      <c r="J9" s="249">
        <f t="shared" si="6"/>
        <v>0.74</v>
      </c>
      <c r="K9" s="249">
        <f t="shared" si="6"/>
        <v>0.74</v>
      </c>
      <c r="L9" s="249">
        <f t="shared" si="6"/>
        <v>0.74</v>
      </c>
      <c r="M9" s="249">
        <f t="shared" si="6"/>
        <v>0.74</v>
      </c>
      <c r="N9" s="249">
        <f t="shared" si="6"/>
        <v>0.74</v>
      </c>
      <c r="O9" s="249">
        <f t="shared" si="6"/>
        <v>0.74</v>
      </c>
      <c r="P9" s="7" t="s">
        <v>82</v>
      </c>
      <c r="Q9" s="92"/>
      <c r="R9" s="92"/>
      <c r="S9" s="92"/>
      <c r="T9" s="92"/>
      <c r="U9" s="92"/>
      <c r="V9" s="92"/>
    </row>
    <row r="10" spans="1:22" ht="24" customHeight="1">
      <c r="A10" s="5">
        <f t="shared" si="1"/>
        <v>10</v>
      </c>
      <c r="B10" s="169" t="s">
        <v>225</v>
      </c>
      <c r="C10" s="651"/>
      <c r="D10" s="200">
        <v>660</v>
      </c>
      <c r="E10" s="250">
        <f>D10</f>
        <v>660</v>
      </c>
      <c r="F10" s="250">
        <f t="shared" si="6"/>
        <v>660</v>
      </c>
      <c r="G10" s="250">
        <f t="shared" si="6"/>
        <v>660</v>
      </c>
      <c r="H10" s="250">
        <f t="shared" si="6"/>
        <v>660</v>
      </c>
      <c r="I10" s="250">
        <f t="shared" si="6"/>
        <v>660</v>
      </c>
      <c r="J10" s="250">
        <f t="shared" si="6"/>
        <v>660</v>
      </c>
      <c r="K10" s="250">
        <f t="shared" si="6"/>
        <v>660</v>
      </c>
      <c r="L10" s="250">
        <f t="shared" si="6"/>
        <v>660</v>
      </c>
      <c r="M10" s="250">
        <f t="shared" si="6"/>
        <v>660</v>
      </c>
      <c r="N10" s="250">
        <f t="shared" si="6"/>
        <v>660</v>
      </c>
      <c r="O10" s="250">
        <f t="shared" si="6"/>
        <v>660</v>
      </c>
      <c r="P10" s="7" t="s">
        <v>76</v>
      </c>
      <c r="Q10" s="92"/>
      <c r="R10" s="92"/>
      <c r="S10" s="92"/>
      <c r="T10" s="92"/>
      <c r="U10" s="92"/>
      <c r="V10" s="92"/>
    </row>
    <row r="11" spans="1:22" ht="24" customHeight="1">
      <c r="A11" s="5">
        <f t="shared" si="1"/>
        <v>11</v>
      </c>
      <c r="B11" s="171" t="s">
        <v>317</v>
      </c>
      <c r="C11" s="651"/>
      <c r="D11" s="201"/>
      <c r="E11" s="251">
        <f>D11</f>
        <v>0</v>
      </c>
      <c r="F11" s="251">
        <f t="shared" si="6"/>
        <v>0</v>
      </c>
      <c r="G11" s="251">
        <f t="shared" si="6"/>
        <v>0</v>
      </c>
      <c r="H11" s="251">
        <f t="shared" si="6"/>
        <v>0</v>
      </c>
      <c r="I11" s="251">
        <f t="shared" si="6"/>
        <v>0</v>
      </c>
      <c r="J11" s="251">
        <f t="shared" si="6"/>
        <v>0</v>
      </c>
      <c r="K11" s="251">
        <f t="shared" si="6"/>
        <v>0</v>
      </c>
      <c r="L11" s="251">
        <f t="shared" si="6"/>
        <v>0</v>
      </c>
      <c r="M11" s="251">
        <f t="shared" si="6"/>
        <v>0</v>
      </c>
      <c r="N11" s="251">
        <f t="shared" si="6"/>
        <v>0</v>
      </c>
      <c r="O11" s="251">
        <f t="shared" si="6"/>
        <v>0</v>
      </c>
      <c r="P11" s="13" t="s">
        <v>83</v>
      </c>
      <c r="Q11" s="92"/>
      <c r="R11" s="92"/>
      <c r="S11" s="92"/>
      <c r="T11" s="92"/>
      <c r="U11" s="92"/>
      <c r="V11" s="92"/>
    </row>
    <row r="12" spans="1:22" ht="24" customHeight="1">
      <c r="A12" s="5">
        <f t="shared" si="1"/>
        <v>12</v>
      </c>
      <c r="B12" s="172" t="s">
        <v>271</v>
      </c>
      <c r="C12" s="651"/>
      <c r="D12" s="201"/>
      <c r="E12" s="251">
        <f>D12</f>
        <v>0</v>
      </c>
      <c r="F12" s="251">
        <f t="shared" si="6"/>
        <v>0</v>
      </c>
      <c r="G12" s="251">
        <f t="shared" si="6"/>
        <v>0</v>
      </c>
      <c r="H12" s="251">
        <f t="shared" si="6"/>
        <v>0</v>
      </c>
      <c r="I12" s="251">
        <f t="shared" si="6"/>
        <v>0</v>
      </c>
      <c r="J12" s="251">
        <f t="shared" si="6"/>
        <v>0</v>
      </c>
      <c r="K12" s="251">
        <f t="shared" si="6"/>
        <v>0</v>
      </c>
      <c r="L12" s="251">
        <f t="shared" si="6"/>
        <v>0</v>
      </c>
      <c r="M12" s="251">
        <f t="shared" si="6"/>
        <v>0</v>
      </c>
      <c r="N12" s="251">
        <f t="shared" si="6"/>
        <v>0</v>
      </c>
      <c r="O12" s="251">
        <f t="shared" si="6"/>
        <v>0</v>
      </c>
      <c r="P12" s="3" t="s">
        <v>86</v>
      </c>
      <c r="Q12" s="92"/>
      <c r="R12" s="92"/>
      <c r="S12" s="92"/>
      <c r="T12" s="92"/>
      <c r="U12" s="92"/>
      <c r="V12" s="92"/>
    </row>
    <row r="13" spans="1:22" ht="24" customHeight="1">
      <c r="A13" s="5">
        <f>A12+1</f>
        <v>13</v>
      </c>
      <c r="B13" s="173" t="s">
        <v>271</v>
      </c>
      <c r="C13" s="651"/>
      <c r="D13" s="202"/>
      <c r="E13" s="252">
        <f t="shared" ref="E13:O20" si="7">D13</f>
        <v>0</v>
      </c>
      <c r="F13" s="252">
        <f t="shared" si="7"/>
        <v>0</v>
      </c>
      <c r="G13" s="252">
        <f t="shared" si="7"/>
        <v>0</v>
      </c>
      <c r="H13" s="252">
        <f t="shared" si="7"/>
        <v>0</v>
      </c>
      <c r="I13" s="252">
        <f t="shared" si="7"/>
        <v>0</v>
      </c>
      <c r="J13" s="252">
        <f t="shared" si="7"/>
        <v>0</v>
      </c>
      <c r="K13" s="252">
        <f t="shared" si="7"/>
        <v>0</v>
      </c>
      <c r="L13" s="252">
        <f t="shared" si="7"/>
        <v>0</v>
      </c>
      <c r="M13" s="252">
        <f t="shared" si="7"/>
        <v>0</v>
      </c>
      <c r="N13" s="252">
        <f t="shared" si="7"/>
        <v>0</v>
      </c>
      <c r="O13" s="252">
        <f t="shared" si="7"/>
        <v>0</v>
      </c>
      <c r="P13" s="3" t="s">
        <v>86</v>
      </c>
      <c r="Q13" s="92"/>
      <c r="R13" s="92"/>
      <c r="S13" s="92"/>
      <c r="T13" s="92"/>
      <c r="U13" s="92"/>
      <c r="V13" s="92"/>
    </row>
    <row r="14" spans="1:22" ht="24" customHeight="1">
      <c r="A14" s="5">
        <f t="shared" si="1"/>
        <v>14</v>
      </c>
      <c r="B14" s="174" t="s">
        <v>271</v>
      </c>
      <c r="C14" s="651"/>
      <c r="D14" s="203"/>
      <c r="E14" s="253">
        <f t="shared" si="7"/>
        <v>0</v>
      </c>
      <c r="F14" s="253">
        <f t="shared" si="7"/>
        <v>0</v>
      </c>
      <c r="G14" s="253">
        <f t="shared" si="7"/>
        <v>0</v>
      </c>
      <c r="H14" s="253">
        <f t="shared" si="7"/>
        <v>0</v>
      </c>
      <c r="I14" s="253">
        <f t="shared" si="7"/>
        <v>0</v>
      </c>
      <c r="J14" s="253">
        <f t="shared" si="7"/>
        <v>0</v>
      </c>
      <c r="K14" s="253">
        <f t="shared" si="7"/>
        <v>0</v>
      </c>
      <c r="L14" s="253">
        <f t="shared" si="7"/>
        <v>0</v>
      </c>
      <c r="M14" s="253">
        <f t="shared" si="7"/>
        <v>0</v>
      </c>
      <c r="N14" s="253">
        <f t="shared" si="7"/>
        <v>0</v>
      </c>
      <c r="O14" s="253">
        <f t="shared" si="7"/>
        <v>0</v>
      </c>
      <c r="P14" s="3" t="s">
        <v>86</v>
      </c>
      <c r="Q14" s="92"/>
      <c r="R14" s="92"/>
      <c r="S14" s="92"/>
      <c r="T14" s="92"/>
      <c r="U14" s="92"/>
      <c r="V14" s="92"/>
    </row>
    <row r="15" spans="1:22" ht="24" customHeight="1">
      <c r="A15" s="5">
        <f t="shared" si="1"/>
        <v>15</v>
      </c>
      <c r="B15" s="175" t="s">
        <v>201</v>
      </c>
      <c r="C15" s="651"/>
      <c r="D15" s="204"/>
      <c r="E15" s="254">
        <f t="shared" si="7"/>
        <v>0</v>
      </c>
      <c r="F15" s="254">
        <f t="shared" si="7"/>
        <v>0</v>
      </c>
      <c r="G15" s="254">
        <f t="shared" si="7"/>
        <v>0</v>
      </c>
      <c r="H15" s="254">
        <f t="shared" si="7"/>
        <v>0</v>
      </c>
      <c r="I15" s="254">
        <f t="shared" si="7"/>
        <v>0</v>
      </c>
      <c r="J15" s="254">
        <f t="shared" si="7"/>
        <v>0</v>
      </c>
      <c r="K15" s="254">
        <f t="shared" si="7"/>
        <v>0</v>
      </c>
      <c r="L15" s="254">
        <f t="shared" si="7"/>
        <v>0</v>
      </c>
      <c r="M15" s="254">
        <f t="shared" si="7"/>
        <v>0</v>
      </c>
      <c r="N15" s="254">
        <f t="shared" si="7"/>
        <v>0</v>
      </c>
      <c r="O15" s="254">
        <f t="shared" si="7"/>
        <v>0</v>
      </c>
      <c r="P15" s="3" t="s">
        <v>84</v>
      </c>
      <c r="Q15" s="92"/>
      <c r="R15" s="92"/>
      <c r="S15" s="92"/>
      <c r="T15" s="92"/>
      <c r="U15" s="92"/>
      <c r="V15" s="92"/>
    </row>
    <row r="16" spans="1:22" ht="24" customHeight="1">
      <c r="A16" s="5">
        <f t="shared" si="1"/>
        <v>16</v>
      </c>
      <c r="B16" s="172" t="s">
        <v>202</v>
      </c>
      <c r="C16" s="651"/>
      <c r="D16" s="201">
        <v>15700</v>
      </c>
      <c r="E16" s="251">
        <f t="shared" si="7"/>
        <v>15700</v>
      </c>
      <c r="F16" s="251">
        <f t="shared" si="7"/>
        <v>15700</v>
      </c>
      <c r="G16" s="251">
        <f t="shared" si="7"/>
        <v>15700</v>
      </c>
      <c r="H16" s="251">
        <f t="shared" si="7"/>
        <v>15700</v>
      </c>
      <c r="I16" s="251">
        <f t="shared" si="7"/>
        <v>15700</v>
      </c>
      <c r="J16" s="251">
        <f t="shared" si="7"/>
        <v>15700</v>
      </c>
      <c r="K16" s="251">
        <f t="shared" si="7"/>
        <v>15700</v>
      </c>
      <c r="L16" s="251">
        <f t="shared" si="7"/>
        <v>15700</v>
      </c>
      <c r="M16" s="251">
        <f t="shared" si="7"/>
        <v>15700</v>
      </c>
      <c r="N16" s="251">
        <f t="shared" si="7"/>
        <v>15700</v>
      </c>
      <c r="O16" s="251">
        <f t="shared" si="7"/>
        <v>15700</v>
      </c>
      <c r="P16" s="3" t="s">
        <v>84</v>
      </c>
      <c r="Q16" s="92"/>
      <c r="R16" s="92"/>
      <c r="S16" s="92"/>
      <c r="T16" s="92"/>
      <c r="U16" s="92"/>
      <c r="V16" s="92"/>
    </row>
    <row r="17" spans="1:22" ht="24" customHeight="1">
      <c r="A17" s="5">
        <f>A16+1</f>
        <v>17</v>
      </c>
      <c r="B17" s="176" t="s">
        <v>353</v>
      </c>
      <c r="C17" s="651"/>
      <c r="D17" s="202"/>
      <c r="E17" s="252">
        <f t="shared" si="7"/>
        <v>0</v>
      </c>
      <c r="F17" s="252">
        <f t="shared" si="7"/>
        <v>0</v>
      </c>
      <c r="G17" s="252">
        <f t="shared" si="7"/>
        <v>0</v>
      </c>
      <c r="H17" s="252">
        <f t="shared" si="7"/>
        <v>0</v>
      </c>
      <c r="I17" s="252">
        <f t="shared" si="7"/>
        <v>0</v>
      </c>
      <c r="J17" s="252">
        <f t="shared" si="7"/>
        <v>0</v>
      </c>
      <c r="K17" s="252">
        <f t="shared" si="7"/>
        <v>0</v>
      </c>
      <c r="L17" s="252">
        <f t="shared" si="7"/>
        <v>0</v>
      </c>
      <c r="M17" s="252">
        <f t="shared" si="7"/>
        <v>0</v>
      </c>
      <c r="N17" s="252">
        <f t="shared" si="7"/>
        <v>0</v>
      </c>
      <c r="O17" s="252">
        <f t="shared" si="7"/>
        <v>0</v>
      </c>
      <c r="P17" s="3" t="s">
        <v>354</v>
      </c>
      <c r="Q17" s="92"/>
      <c r="R17" s="92"/>
      <c r="S17" s="92"/>
      <c r="T17" s="92"/>
      <c r="U17" s="92"/>
      <c r="V17" s="92"/>
    </row>
    <row r="18" spans="1:22" ht="24" customHeight="1">
      <c r="A18" s="5">
        <f t="shared" si="1"/>
        <v>18</v>
      </c>
      <c r="B18" s="174" t="s">
        <v>217</v>
      </c>
      <c r="C18" s="651"/>
      <c r="D18" s="205"/>
      <c r="E18" s="255">
        <f t="shared" si="7"/>
        <v>0</v>
      </c>
      <c r="F18" s="255">
        <f t="shared" si="7"/>
        <v>0</v>
      </c>
      <c r="G18" s="255">
        <f t="shared" si="7"/>
        <v>0</v>
      </c>
      <c r="H18" s="255">
        <f t="shared" si="7"/>
        <v>0</v>
      </c>
      <c r="I18" s="255">
        <f t="shared" si="7"/>
        <v>0</v>
      </c>
      <c r="J18" s="255">
        <f t="shared" si="7"/>
        <v>0</v>
      </c>
      <c r="K18" s="255">
        <f t="shared" si="7"/>
        <v>0</v>
      </c>
      <c r="L18" s="255">
        <f t="shared" si="7"/>
        <v>0</v>
      </c>
      <c r="M18" s="255">
        <f t="shared" si="7"/>
        <v>0</v>
      </c>
      <c r="N18" s="255">
        <f t="shared" si="7"/>
        <v>0</v>
      </c>
      <c r="O18" s="255">
        <f t="shared" si="7"/>
        <v>0</v>
      </c>
      <c r="P18" s="3" t="s">
        <v>84</v>
      </c>
      <c r="Q18" s="92"/>
      <c r="R18" s="92"/>
      <c r="S18" s="92"/>
      <c r="T18" s="92"/>
      <c r="U18" s="92"/>
      <c r="V18" s="92"/>
    </row>
    <row r="19" spans="1:22" ht="24" customHeight="1">
      <c r="A19" s="5">
        <f t="shared" si="1"/>
        <v>19</v>
      </c>
      <c r="B19" s="177" t="s">
        <v>218</v>
      </c>
      <c r="C19" s="651"/>
      <c r="D19" s="206" t="s">
        <v>237</v>
      </c>
      <c r="E19" s="256" t="str">
        <f>D19</f>
        <v>NEJ</v>
      </c>
      <c r="F19" s="256" t="str">
        <f t="shared" si="7"/>
        <v>NEJ</v>
      </c>
      <c r="G19" s="256" t="str">
        <f t="shared" si="7"/>
        <v>NEJ</v>
      </c>
      <c r="H19" s="256" t="str">
        <f t="shared" si="7"/>
        <v>NEJ</v>
      </c>
      <c r="I19" s="256" t="str">
        <f t="shared" si="7"/>
        <v>NEJ</v>
      </c>
      <c r="J19" s="256" t="str">
        <f t="shared" si="7"/>
        <v>NEJ</v>
      </c>
      <c r="K19" s="256" t="str">
        <f t="shared" si="7"/>
        <v>NEJ</v>
      </c>
      <c r="L19" s="256" t="str">
        <f t="shared" si="7"/>
        <v>NEJ</v>
      </c>
      <c r="M19" s="256" t="str">
        <f t="shared" si="7"/>
        <v>NEJ</v>
      </c>
      <c r="N19" s="256" t="str">
        <f t="shared" si="7"/>
        <v>NEJ</v>
      </c>
      <c r="O19" s="256" t="str">
        <f t="shared" si="7"/>
        <v>NEJ</v>
      </c>
      <c r="P19" s="7" t="s">
        <v>200</v>
      </c>
      <c r="Q19" s="92"/>
      <c r="R19" s="92"/>
      <c r="S19" s="92"/>
      <c r="T19" s="92"/>
      <c r="U19" s="92"/>
      <c r="V19" s="92"/>
    </row>
    <row r="20" spans="1:22" ht="14" customHeight="1">
      <c r="A20" s="5">
        <f t="shared" si="1"/>
        <v>20</v>
      </c>
      <c r="B20" s="178" t="s">
        <v>267</v>
      </c>
      <c r="C20" s="651"/>
      <c r="D20" s="207"/>
      <c r="E20" s="257">
        <f>D20</f>
        <v>0</v>
      </c>
      <c r="F20" s="257">
        <f t="shared" si="7"/>
        <v>0</v>
      </c>
      <c r="G20" s="257">
        <f t="shared" si="7"/>
        <v>0</v>
      </c>
      <c r="H20" s="257">
        <f t="shared" si="7"/>
        <v>0</v>
      </c>
      <c r="I20" s="257">
        <f t="shared" si="7"/>
        <v>0</v>
      </c>
      <c r="J20" s="257">
        <f t="shared" si="7"/>
        <v>0</v>
      </c>
      <c r="K20" s="257">
        <f t="shared" si="7"/>
        <v>0</v>
      </c>
      <c r="L20" s="257">
        <f>K20</f>
        <v>0</v>
      </c>
      <c r="M20" s="257">
        <f t="shared" si="7"/>
        <v>0</v>
      </c>
      <c r="N20" s="257">
        <f t="shared" si="7"/>
        <v>0</v>
      </c>
      <c r="O20" s="257">
        <f t="shared" si="7"/>
        <v>0</v>
      </c>
      <c r="P20" s="148" t="s">
        <v>165</v>
      </c>
      <c r="Q20" s="92"/>
      <c r="R20" s="92"/>
      <c r="S20" s="92"/>
      <c r="T20" s="92"/>
      <c r="U20" s="92"/>
      <c r="V20" s="92"/>
    </row>
    <row r="21" spans="1:22" ht="14" customHeight="1">
      <c r="A21" s="5">
        <f t="shared" si="1"/>
        <v>21</v>
      </c>
      <c r="B21" s="179" t="s">
        <v>231</v>
      </c>
      <c r="C21" s="651"/>
      <c r="D21" s="208">
        <v>5</v>
      </c>
      <c r="E21" s="152"/>
      <c r="F21" s="152"/>
      <c r="G21" s="152"/>
      <c r="H21" s="152"/>
      <c r="I21" s="152"/>
      <c r="J21" s="152"/>
      <c r="K21" s="152"/>
      <c r="L21" s="152"/>
      <c r="M21" s="152">
        <v>9.9999999999999995E-8</v>
      </c>
      <c r="N21" s="152"/>
      <c r="O21" s="152">
        <v>20</v>
      </c>
      <c r="P21" s="3" t="s">
        <v>232</v>
      </c>
      <c r="Q21" s="92"/>
      <c r="R21" s="92"/>
      <c r="S21" s="92"/>
      <c r="T21" s="92"/>
      <c r="U21" s="92"/>
      <c r="V21" s="92"/>
    </row>
    <row r="22" spans="1:22" ht="27" customHeight="1">
      <c r="A22" s="5">
        <f t="shared" si="1"/>
        <v>22</v>
      </c>
      <c r="B22" s="135" t="s">
        <v>240</v>
      </c>
      <c r="C22" s="651"/>
      <c r="D22" s="209">
        <v>0</v>
      </c>
      <c r="E22" s="153"/>
      <c r="F22" s="153"/>
      <c r="G22" s="153"/>
      <c r="H22" s="153"/>
      <c r="I22" s="153"/>
      <c r="J22" s="153"/>
      <c r="K22" s="153"/>
      <c r="L22" s="153"/>
      <c r="M22" s="153"/>
      <c r="N22" s="153"/>
      <c r="O22" s="153">
        <v>0</v>
      </c>
      <c r="P22" s="3" t="s">
        <v>351</v>
      </c>
      <c r="Q22" s="92"/>
      <c r="R22" s="92"/>
      <c r="S22" s="92"/>
      <c r="T22" s="92"/>
      <c r="U22" s="92"/>
      <c r="V22" s="92"/>
    </row>
    <row r="23" spans="1:22" ht="14" customHeight="1">
      <c r="A23" s="5">
        <f t="shared" si="1"/>
        <v>23</v>
      </c>
      <c r="B23" s="180" t="s">
        <v>306</v>
      </c>
      <c r="C23" s="643"/>
      <c r="D23" s="210">
        <v>0.66139999999999999</v>
      </c>
      <c r="E23" s="258">
        <f t="shared" ref="E23:L23" si="8">D23</f>
        <v>0.66139999999999999</v>
      </c>
      <c r="F23" s="258">
        <f t="shared" si="8"/>
        <v>0.66139999999999999</v>
      </c>
      <c r="G23" s="258">
        <f t="shared" si="8"/>
        <v>0.66139999999999999</v>
      </c>
      <c r="H23" s="258">
        <f t="shared" si="8"/>
        <v>0.66139999999999999</v>
      </c>
      <c r="I23" s="258">
        <f t="shared" si="8"/>
        <v>0.66139999999999999</v>
      </c>
      <c r="J23" s="258">
        <f t="shared" si="8"/>
        <v>0.66139999999999999</v>
      </c>
      <c r="K23" s="258">
        <f t="shared" si="8"/>
        <v>0.66139999999999999</v>
      </c>
      <c r="L23" s="258">
        <f t="shared" si="8"/>
        <v>0.66139999999999999</v>
      </c>
      <c r="M23" s="166"/>
      <c r="N23" s="154"/>
      <c r="O23" s="154"/>
      <c r="P23" s="150" t="s">
        <v>270</v>
      </c>
      <c r="Q23" s="92"/>
      <c r="R23" s="92"/>
      <c r="S23" s="92"/>
      <c r="T23" s="92"/>
      <c r="U23" s="92"/>
      <c r="V23" s="92"/>
    </row>
    <row r="24" spans="1:22" ht="14" customHeight="1">
      <c r="A24" s="5">
        <f t="shared" si="1"/>
        <v>24</v>
      </c>
      <c r="B24" s="181" t="s">
        <v>346</v>
      </c>
      <c r="C24" s="643"/>
      <c r="D24" s="143" t="s">
        <v>221</v>
      </c>
      <c r="E24" s="155"/>
      <c r="F24" s="155"/>
      <c r="G24" s="155"/>
      <c r="H24" s="155"/>
      <c r="I24" s="155"/>
      <c r="J24" s="155"/>
      <c r="K24" s="155"/>
      <c r="L24" s="167"/>
      <c r="M24" s="420">
        <f>(7*0.6614+5*0.74)/12</f>
        <v>0.69414999999999993</v>
      </c>
      <c r="N24" s="259">
        <f>M24</f>
        <v>0.69414999999999993</v>
      </c>
      <c r="O24" s="259">
        <f>N24</f>
        <v>0.69414999999999993</v>
      </c>
      <c r="P24" s="147" t="s">
        <v>269</v>
      </c>
      <c r="Q24" s="92"/>
      <c r="R24" s="92"/>
      <c r="S24" s="92"/>
      <c r="T24" s="92"/>
      <c r="U24" s="92"/>
      <c r="V24" s="92"/>
    </row>
    <row r="25" spans="1:22" ht="14" customHeight="1">
      <c r="A25" s="5">
        <f t="shared" si="1"/>
        <v>25</v>
      </c>
      <c r="B25" s="182" t="s">
        <v>211</v>
      </c>
      <c r="C25" s="643"/>
      <c r="D25" s="211"/>
      <c r="E25" s="129"/>
      <c r="F25" s="129"/>
      <c r="G25" s="129"/>
      <c r="H25" s="129"/>
      <c r="I25" s="129"/>
      <c r="J25" s="129"/>
      <c r="K25" s="129"/>
      <c r="L25" s="129"/>
      <c r="M25" s="129"/>
      <c r="N25" s="129"/>
      <c r="O25" s="129"/>
      <c r="P25" s="148" t="s">
        <v>264</v>
      </c>
      <c r="Q25" s="92"/>
      <c r="R25" s="92"/>
      <c r="S25" s="92"/>
      <c r="T25" s="92"/>
      <c r="U25" s="92"/>
      <c r="V25" s="92"/>
    </row>
    <row r="26" spans="1:22" ht="14" customHeight="1">
      <c r="A26" s="5">
        <f t="shared" si="1"/>
        <v>26</v>
      </c>
      <c r="B26" s="183" t="s">
        <v>212</v>
      </c>
      <c r="C26" s="643"/>
      <c r="D26" s="212">
        <f>Ex11_12!O26</f>
        <v>41</v>
      </c>
      <c r="E26" s="260">
        <f>D26</f>
        <v>41</v>
      </c>
      <c r="F26" s="260">
        <f t="shared" ref="F26:O27" si="9">E26</f>
        <v>41</v>
      </c>
      <c r="G26" s="260">
        <f t="shared" si="9"/>
        <v>41</v>
      </c>
      <c r="H26" s="260">
        <f t="shared" si="9"/>
        <v>41</v>
      </c>
      <c r="I26" s="362">
        <v>40</v>
      </c>
      <c r="J26" s="260">
        <f t="shared" si="9"/>
        <v>40</v>
      </c>
      <c r="K26" s="260">
        <f t="shared" si="9"/>
        <v>40</v>
      </c>
      <c r="L26" s="260">
        <f t="shared" si="9"/>
        <v>40</v>
      </c>
      <c r="M26" s="260">
        <f t="shared" si="9"/>
        <v>40</v>
      </c>
      <c r="N26" s="260">
        <f t="shared" si="9"/>
        <v>40</v>
      </c>
      <c r="O26" s="260">
        <f t="shared" si="9"/>
        <v>40</v>
      </c>
      <c r="P26" s="3" t="s">
        <v>23</v>
      </c>
      <c r="Q26" s="92"/>
      <c r="R26" s="92"/>
      <c r="S26" s="92"/>
      <c r="T26" s="92"/>
      <c r="U26" s="92"/>
      <c r="V26" s="92"/>
    </row>
    <row r="27" spans="1:22" ht="14" customHeight="1">
      <c r="A27" s="5">
        <f t="shared" si="1"/>
        <v>27</v>
      </c>
      <c r="B27" s="182" t="s">
        <v>213</v>
      </c>
      <c r="C27" s="643"/>
      <c r="D27" s="213">
        <f>Ex11_12!O27</f>
        <v>5120</v>
      </c>
      <c r="E27" s="261">
        <f>D27</f>
        <v>5120</v>
      </c>
      <c r="F27" s="261">
        <f t="shared" si="9"/>
        <v>5120</v>
      </c>
      <c r="G27" s="261">
        <f t="shared" si="9"/>
        <v>5120</v>
      </c>
      <c r="H27" s="261">
        <f t="shared" si="9"/>
        <v>5120</v>
      </c>
      <c r="I27" s="363">
        <v>5500</v>
      </c>
      <c r="J27" s="261">
        <f t="shared" si="9"/>
        <v>5500</v>
      </c>
      <c r="K27" s="261">
        <f t="shared" si="9"/>
        <v>5500</v>
      </c>
      <c r="L27" s="363">
        <v>0</v>
      </c>
      <c r="M27" s="363">
        <v>5500</v>
      </c>
      <c r="N27" s="261">
        <f t="shared" si="9"/>
        <v>5500</v>
      </c>
      <c r="O27" s="261">
        <f t="shared" si="9"/>
        <v>5500</v>
      </c>
      <c r="P27" s="148"/>
      <c r="Q27" s="92"/>
      <c r="R27" s="92"/>
      <c r="S27" s="92"/>
      <c r="T27" s="92"/>
      <c r="U27" s="92"/>
      <c r="V27" s="92"/>
    </row>
    <row r="28" spans="1:22">
      <c r="A28" s="5">
        <f t="shared" si="1"/>
        <v>28</v>
      </c>
      <c r="B28" s="184" t="s">
        <v>154</v>
      </c>
      <c r="C28" s="643"/>
      <c r="D28" s="234"/>
      <c r="E28" s="235"/>
      <c r="F28" s="235"/>
      <c r="G28" s="235"/>
      <c r="H28" s="235"/>
      <c r="I28" s="235"/>
      <c r="J28" s="235"/>
      <c r="K28" s="235"/>
      <c r="L28" s="235"/>
      <c r="M28" s="235"/>
      <c r="N28" s="235"/>
      <c r="O28" s="235"/>
      <c r="P28" s="7" t="s">
        <v>289</v>
      </c>
      <c r="Q28" s="92"/>
      <c r="R28" s="92"/>
      <c r="S28" s="92"/>
      <c r="T28" s="92"/>
      <c r="U28" s="92"/>
      <c r="V28" s="92"/>
    </row>
    <row r="29" spans="1:22">
      <c r="A29" s="5">
        <f t="shared" si="1"/>
        <v>29</v>
      </c>
      <c r="B29" s="185" t="s">
        <v>164</v>
      </c>
      <c r="C29" s="643"/>
      <c r="D29" s="236"/>
      <c r="E29" s="237"/>
      <c r="F29" s="237"/>
      <c r="G29" s="237"/>
      <c r="H29" s="237"/>
      <c r="I29" s="237"/>
      <c r="J29" s="237"/>
      <c r="K29" s="237"/>
      <c r="L29" s="237"/>
      <c r="M29" s="237"/>
      <c r="N29" s="237"/>
      <c r="O29" s="237"/>
      <c r="P29" s="7" t="s">
        <v>289</v>
      </c>
      <c r="Q29" s="92"/>
      <c r="R29" s="92"/>
      <c r="S29" s="92"/>
      <c r="T29" s="92"/>
      <c r="U29" s="92"/>
      <c r="V29" s="92"/>
    </row>
    <row r="30" spans="1:22">
      <c r="A30" s="5">
        <f t="shared" si="1"/>
        <v>30</v>
      </c>
      <c r="B30" s="185" t="s">
        <v>155</v>
      </c>
      <c r="C30" s="643"/>
      <c r="D30" s="236"/>
      <c r="E30" s="237"/>
      <c r="F30" s="237"/>
      <c r="G30" s="237"/>
      <c r="H30" s="237"/>
      <c r="I30" s="237"/>
      <c r="J30" s="237"/>
      <c r="K30" s="237"/>
      <c r="L30" s="237"/>
      <c r="M30" s="237"/>
      <c r="N30" s="237"/>
      <c r="O30" s="237"/>
      <c r="P30" s="7" t="s">
        <v>289</v>
      </c>
      <c r="Q30" s="92"/>
      <c r="R30" s="92"/>
      <c r="S30" s="92"/>
      <c r="T30" s="92"/>
      <c r="U30" s="92"/>
      <c r="V30" s="92"/>
    </row>
    <row r="31" spans="1:22">
      <c r="A31" s="5">
        <f t="shared" si="1"/>
        <v>31</v>
      </c>
      <c r="B31" s="185" t="s">
        <v>140</v>
      </c>
      <c r="C31" s="643"/>
      <c r="D31" s="236"/>
      <c r="E31" s="237"/>
      <c r="F31" s="237"/>
      <c r="G31" s="237"/>
      <c r="H31" s="237"/>
      <c r="I31" s="237"/>
      <c r="J31" s="237"/>
      <c r="K31" s="237"/>
      <c r="L31" s="237"/>
      <c r="M31" s="237"/>
      <c r="N31" s="237"/>
      <c r="O31" s="237"/>
      <c r="P31" s="7" t="s">
        <v>289</v>
      </c>
      <c r="Q31" s="92"/>
      <c r="R31" s="92"/>
      <c r="S31" s="92"/>
      <c r="T31" s="92"/>
      <c r="U31" s="92"/>
      <c r="V31" s="92"/>
    </row>
    <row r="32" spans="1:22">
      <c r="A32" s="5">
        <f t="shared" si="1"/>
        <v>32</v>
      </c>
      <c r="B32" s="185" t="s">
        <v>214</v>
      </c>
      <c r="C32" s="643"/>
      <c r="D32" s="236"/>
      <c r="E32" s="237"/>
      <c r="F32" s="237"/>
      <c r="G32" s="237"/>
      <c r="H32" s="237"/>
      <c r="I32" s="237"/>
      <c r="J32" s="237"/>
      <c r="K32" s="237"/>
      <c r="L32" s="237"/>
      <c r="M32" s="237"/>
      <c r="N32" s="237"/>
      <c r="O32" s="237"/>
      <c r="P32" s="3" t="s">
        <v>289</v>
      </c>
      <c r="Q32" s="92"/>
      <c r="R32" s="92"/>
      <c r="S32" s="92"/>
      <c r="T32" s="92"/>
      <c r="U32" s="92"/>
      <c r="V32" s="92"/>
    </row>
    <row r="33" spans="1:22">
      <c r="A33" s="5">
        <f t="shared" si="1"/>
        <v>33</v>
      </c>
      <c r="B33" s="185" t="s">
        <v>156</v>
      </c>
      <c r="C33" s="643"/>
      <c r="D33" s="236"/>
      <c r="E33" s="237"/>
      <c r="F33" s="237"/>
      <c r="G33" s="237"/>
      <c r="H33" s="237"/>
      <c r="I33" s="237"/>
      <c r="J33" s="237"/>
      <c r="K33" s="237"/>
      <c r="L33" s="237"/>
      <c r="M33" s="237"/>
      <c r="N33" s="237"/>
      <c r="O33" s="237"/>
      <c r="P33" s="7" t="s">
        <v>85</v>
      </c>
      <c r="Q33" s="92"/>
      <c r="R33" s="92"/>
      <c r="S33" s="92"/>
      <c r="T33" s="92"/>
      <c r="U33" s="92"/>
      <c r="V33" s="92"/>
    </row>
    <row r="34" spans="1:22">
      <c r="A34" s="5">
        <f t="shared" si="1"/>
        <v>34</v>
      </c>
      <c r="B34" s="185" t="s">
        <v>158</v>
      </c>
      <c r="C34" s="643"/>
      <c r="D34" s="236"/>
      <c r="E34" s="237"/>
      <c r="F34" s="237"/>
      <c r="G34" s="237"/>
      <c r="H34" s="237"/>
      <c r="I34" s="237"/>
      <c r="J34" s="237"/>
      <c r="K34" s="237"/>
      <c r="L34" s="237"/>
      <c r="M34" s="237"/>
      <c r="N34" s="237"/>
      <c r="O34" s="237"/>
      <c r="P34" s="7" t="s">
        <v>77</v>
      </c>
      <c r="Q34" s="92"/>
      <c r="R34" s="92"/>
      <c r="S34" s="92"/>
      <c r="T34" s="92"/>
      <c r="U34" s="92"/>
      <c r="V34" s="92"/>
    </row>
    <row r="35" spans="1:22">
      <c r="A35" s="5">
        <f t="shared" si="1"/>
        <v>35</v>
      </c>
      <c r="B35" s="185" t="s">
        <v>157</v>
      </c>
      <c r="C35" s="643"/>
      <c r="D35" s="236"/>
      <c r="E35" s="237"/>
      <c r="F35" s="237"/>
      <c r="G35" s="237"/>
      <c r="H35" s="237"/>
      <c r="I35" s="237"/>
      <c r="J35" s="237"/>
      <c r="K35" s="237"/>
      <c r="L35" s="237"/>
      <c r="M35" s="237"/>
      <c r="N35" s="237"/>
      <c r="O35" s="237"/>
      <c r="P35" s="7" t="s">
        <v>77</v>
      </c>
      <c r="Q35" s="92"/>
      <c r="R35" s="92"/>
      <c r="S35" s="92"/>
      <c r="T35" s="92"/>
      <c r="U35" s="92"/>
      <c r="V35" s="92"/>
    </row>
    <row r="36" spans="1:22">
      <c r="A36" s="5">
        <f t="shared" si="1"/>
        <v>36</v>
      </c>
      <c r="B36" s="185" t="s">
        <v>159</v>
      </c>
      <c r="C36" s="643"/>
      <c r="D36" s="236"/>
      <c r="E36" s="237"/>
      <c r="F36" s="237"/>
      <c r="G36" s="237"/>
      <c r="H36" s="237"/>
      <c r="I36" s="237"/>
      <c r="J36" s="237"/>
      <c r="K36" s="237"/>
      <c r="L36" s="237"/>
      <c r="M36" s="237"/>
      <c r="N36" s="237"/>
      <c r="O36" s="237"/>
      <c r="P36" s="7" t="s">
        <v>352</v>
      </c>
      <c r="Q36" s="92"/>
      <c r="R36" s="92"/>
      <c r="S36" s="92"/>
      <c r="T36" s="92"/>
      <c r="U36" s="92"/>
      <c r="V36" s="92"/>
    </row>
    <row r="37" spans="1:22">
      <c r="A37" s="5">
        <f t="shared" si="1"/>
        <v>37</v>
      </c>
      <c r="B37" s="185" t="s">
        <v>219</v>
      </c>
      <c r="C37" s="643"/>
      <c r="D37" s="238" t="s">
        <v>343</v>
      </c>
      <c r="E37" s="239"/>
      <c r="F37" s="239"/>
      <c r="G37" s="239"/>
      <c r="H37" s="239"/>
      <c r="I37" s="239"/>
      <c r="J37" s="239"/>
      <c r="K37" s="239"/>
      <c r="L37" s="239"/>
      <c r="M37" s="262">
        <f>IF(M21&gt;0,ROUND(1.5%*P88,2),0)</f>
        <v>3376.77</v>
      </c>
      <c r="N37" s="262">
        <f>IF(AND(N21&gt;0,M37=0),ROUND(1.5%*P88,2),0)</f>
        <v>0</v>
      </c>
      <c r="O37" s="262">
        <f>IF(AND(O21&gt;0,SUM(M37:N37)=0),ROUND(1.5%*P88,2),0)</f>
        <v>0</v>
      </c>
      <c r="P37" s="7" t="s">
        <v>262</v>
      </c>
      <c r="Q37" s="92"/>
      <c r="R37" s="92"/>
      <c r="S37" s="92"/>
      <c r="T37" s="92"/>
      <c r="U37" s="92"/>
      <c r="V37" s="92"/>
    </row>
    <row r="38" spans="1:22">
      <c r="A38" s="5">
        <f t="shared" si="1"/>
        <v>38</v>
      </c>
      <c r="B38" s="186" t="s">
        <v>145</v>
      </c>
      <c r="C38" s="643"/>
      <c r="D38" s="236"/>
      <c r="E38" s="237"/>
      <c r="F38" s="237"/>
      <c r="G38" s="237"/>
      <c r="H38" s="237"/>
      <c r="I38" s="237"/>
      <c r="J38" s="237"/>
      <c r="K38" s="237"/>
      <c r="L38" s="237"/>
      <c r="M38" s="237"/>
      <c r="N38" s="237"/>
      <c r="O38" s="237"/>
      <c r="P38" s="89"/>
      <c r="Q38" s="92"/>
      <c r="R38" s="92"/>
      <c r="S38" s="92"/>
      <c r="T38" s="92"/>
      <c r="U38" s="92"/>
      <c r="V38" s="92"/>
    </row>
    <row r="39" spans="1:22">
      <c r="A39" s="5">
        <f t="shared" si="1"/>
        <v>39</v>
      </c>
      <c r="B39" s="186" t="s">
        <v>160</v>
      </c>
      <c r="C39" s="643"/>
      <c r="D39" s="236"/>
      <c r="E39" s="237"/>
      <c r="F39" s="237"/>
      <c r="G39" s="237"/>
      <c r="H39" s="237"/>
      <c r="I39" s="237"/>
      <c r="J39" s="237"/>
      <c r="K39" s="237"/>
      <c r="L39" s="237"/>
      <c r="M39" s="237"/>
      <c r="N39" s="237"/>
      <c r="O39" s="237"/>
      <c r="P39" s="89"/>
      <c r="Q39" s="92"/>
      <c r="R39" s="92"/>
      <c r="S39" s="92"/>
      <c r="T39" s="92"/>
      <c r="U39" s="92"/>
      <c r="V39" s="92"/>
    </row>
    <row r="40" spans="1:22">
      <c r="A40" s="5">
        <f t="shared" si="1"/>
        <v>40</v>
      </c>
      <c r="B40" s="186" t="s">
        <v>143</v>
      </c>
      <c r="C40" s="643"/>
      <c r="D40" s="236"/>
      <c r="E40" s="237"/>
      <c r="F40" s="237"/>
      <c r="G40" s="237"/>
      <c r="H40" s="237"/>
      <c r="I40" s="237"/>
      <c r="J40" s="237"/>
      <c r="K40" s="237"/>
      <c r="L40" s="237"/>
      <c r="M40" s="237"/>
      <c r="N40" s="237"/>
      <c r="O40" s="237"/>
      <c r="P40" s="89"/>
      <c r="Q40" s="92"/>
      <c r="R40" s="92"/>
      <c r="S40" s="92"/>
      <c r="T40" s="92"/>
      <c r="U40" s="92"/>
      <c r="V40" s="92"/>
    </row>
    <row r="41" spans="1:22">
      <c r="A41" s="5">
        <f t="shared" si="1"/>
        <v>41</v>
      </c>
      <c r="B41" s="186" t="s">
        <v>146</v>
      </c>
      <c r="C41" s="643"/>
      <c r="D41" s="236"/>
      <c r="E41" s="237"/>
      <c r="F41" s="237"/>
      <c r="G41" s="237"/>
      <c r="H41" s="237"/>
      <c r="I41" s="237"/>
      <c r="J41" s="237"/>
      <c r="K41" s="237"/>
      <c r="L41" s="237"/>
      <c r="M41" s="237"/>
      <c r="N41" s="237"/>
      <c r="O41" s="237"/>
      <c r="P41" s="89"/>
      <c r="Q41" s="92"/>
      <c r="R41" s="92"/>
      <c r="S41" s="92"/>
      <c r="T41" s="92"/>
      <c r="U41" s="92"/>
      <c r="V41" s="92"/>
    </row>
    <row r="42" spans="1:22">
      <c r="A42" s="5">
        <f t="shared" si="1"/>
        <v>42</v>
      </c>
      <c r="B42" s="187" t="s">
        <v>141</v>
      </c>
      <c r="C42" s="644"/>
      <c r="D42" s="240"/>
      <c r="E42" s="241"/>
      <c r="F42" s="241"/>
      <c r="G42" s="241"/>
      <c r="H42" s="241"/>
      <c r="I42" s="241"/>
      <c r="J42" s="241"/>
      <c r="K42" s="241"/>
      <c r="L42" s="241"/>
      <c r="M42" s="241"/>
      <c r="N42" s="241"/>
      <c r="O42" s="241"/>
      <c r="P42" s="149"/>
      <c r="Q42" s="92"/>
      <c r="R42" s="92"/>
      <c r="S42" s="92"/>
      <c r="T42" s="92"/>
      <c r="U42" s="92"/>
      <c r="V42" s="92"/>
    </row>
    <row r="43" spans="1:22" ht="32" customHeight="1">
      <c r="A43" s="128">
        <f t="shared" si="1"/>
        <v>43</v>
      </c>
      <c r="B43" s="188" t="s">
        <v>227</v>
      </c>
      <c r="C43" s="78" t="str">
        <f>C2</f>
        <v>jan-jul</v>
      </c>
      <c r="D43" s="214" t="str">
        <f>D2</f>
        <v>AUG 12</v>
      </c>
      <c r="E43" s="78" t="str">
        <f t="shared" ref="E43:O43" si="10">E2</f>
        <v>SEP12</v>
      </c>
      <c r="F43" s="78" t="str">
        <f t="shared" si="10"/>
        <v>OKT 12</v>
      </c>
      <c r="G43" s="78" t="str">
        <f t="shared" si="10"/>
        <v>NOV 12</v>
      </c>
      <c r="H43" s="78" t="str">
        <f t="shared" si="10"/>
        <v>DEC 12</v>
      </c>
      <c r="I43" s="78" t="str">
        <f t="shared" si="10"/>
        <v>JAN 13</v>
      </c>
      <c r="J43" s="78" t="str">
        <f t="shared" si="10"/>
        <v>FEB 13</v>
      </c>
      <c r="K43" s="78" t="str">
        <f t="shared" si="10"/>
        <v>MAR 13</v>
      </c>
      <c r="L43" s="78" t="str">
        <f t="shared" si="10"/>
        <v>APR 13</v>
      </c>
      <c r="M43" s="78" t="str">
        <f t="shared" si="10"/>
        <v>MAJ13</v>
      </c>
      <c r="N43" s="78" t="str">
        <f t="shared" si="10"/>
        <v>JUN 13</v>
      </c>
      <c r="O43" s="78" t="str">
        <f t="shared" si="10"/>
        <v>JUL 13</v>
      </c>
      <c r="P43" s="83" t="s">
        <v>122</v>
      </c>
      <c r="Q43" s="92"/>
      <c r="R43" s="92"/>
      <c r="S43" s="92"/>
      <c r="T43" s="92"/>
      <c r="U43" s="92"/>
      <c r="V43" s="92"/>
    </row>
    <row r="44" spans="1:22">
      <c r="A44" s="128">
        <f t="shared" si="1"/>
        <v>44</v>
      </c>
      <c r="B44" s="162" t="s">
        <v>94</v>
      </c>
      <c r="C44" s="228"/>
      <c r="D44" s="108">
        <f t="shared" ref="D44:O44" si="11">ROUND(IF(D9&gt;0,ROUND((ROUND(VLOOKUP(D4,basistabel12,2,0)*D7,0))/12,2),0)*D9*D3,2)</f>
        <v>17472.75</v>
      </c>
      <c r="E44" s="108">
        <f t="shared" si="11"/>
        <v>17472.75</v>
      </c>
      <c r="F44" s="108">
        <f t="shared" si="11"/>
        <v>17472.75</v>
      </c>
      <c r="G44" s="108">
        <f t="shared" si="11"/>
        <v>17472.75</v>
      </c>
      <c r="H44" s="108">
        <f t="shared" si="11"/>
        <v>17472.75</v>
      </c>
      <c r="I44" s="108">
        <f t="shared" si="11"/>
        <v>17472.75</v>
      </c>
      <c r="J44" s="108">
        <f t="shared" si="11"/>
        <v>17472.75</v>
      </c>
      <c r="K44" s="108">
        <f t="shared" si="11"/>
        <v>17472.75</v>
      </c>
      <c r="L44" s="108">
        <f t="shared" si="11"/>
        <v>2376.7600000000002</v>
      </c>
      <c r="M44" s="108">
        <f t="shared" si="11"/>
        <v>17825.68</v>
      </c>
      <c r="N44" s="108">
        <f t="shared" si="11"/>
        <v>17825.68</v>
      </c>
      <c r="O44" s="108">
        <f t="shared" si="11"/>
        <v>17825.68</v>
      </c>
      <c r="P44" s="122">
        <f t="shared" ref="P44:P81" si="12">SUM(D44:O44)</f>
        <v>195635.8</v>
      </c>
      <c r="Q44" s="92"/>
      <c r="R44" s="92"/>
      <c r="S44" s="92"/>
      <c r="T44" s="92"/>
      <c r="U44" s="92"/>
      <c r="V44" s="92"/>
    </row>
    <row r="45" spans="1:22">
      <c r="A45" s="23">
        <f>A44+1</f>
        <v>45</v>
      </c>
      <c r="B45" s="163" t="s">
        <v>95</v>
      </c>
      <c r="C45" s="228"/>
      <c r="D45" s="110">
        <f t="shared" ref="D45:L45" si="13">ROUND(IF(D9&gt;0,ROUND((VLOOKUP(D4,omraadetabel12,D8,0))/12,2),0)*D9*D3,2)</f>
        <v>240.5</v>
      </c>
      <c r="E45" s="110">
        <f t="shared" si="13"/>
        <v>240.5</v>
      </c>
      <c r="F45" s="110">
        <f t="shared" si="13"/>
        <v>240.5</v>
      </c>
      <c r="G45" s="110">
        <f t="shared" si="13"/>
        <v>240.5</v>
      </c>
      <c r="H45" s="110">
        <f t="shared" si="13"/>
        <v>240.5</v>
      </c>
      <c r="I45" s="110">
        <f t="shared" si="13"/>
        <v>240.5</v>
      </c>
      <c r="J45" s="110">
        <f t="shared" si="13"/>
        <v>240.5</v>
      </c>
      <c r="K45" s="110">
        <f t="shared" si="13"/>
        <v>240.5</v>
      </c>
      <c r="L45" s="110">
        <f t="shared" si="13"/>
        <v>32.07</v>
      </c>
      <c r="M45" s="110">
        <f>ROUND(IF(M9&gt;0,ROUND((VLOOKUP(M4,omraadetabel,M8,0))/12,2),0)*M9*M3,2)</f>
        <v>240.5</v>
      </c>
      <c r="N45" s="110">
        <f>ROUND(IF(N9&gt;0,ROUND((VLOOKUP(N4,omraadetabel,N8,0))/12,2),0)*N9*N3,2)</f>
        <v>240.5</v>
      </c>
      <c r="O45" s="110">
        <f>ROUND(IF(O9&gt;0,ROUND((VLOOKUP(O4,omraadetabel,O8,0))/12,2),0)*O9*O3,2)</f>
        <v>240.5</v>
      </c>
      <c r="P45" s="111">
        <f t="shared" si="12"/>
        <v>2677.5699999999997</v>
      </c>
      <c r="Q45" s="92"/>
      <c r="R45" s="92"/>
      <c r="S45" s="92"/>
      <c r="T45" s="92"/>
      <c r="U45" s="92"/>
      <c r="V45" s="92"/>
    </row>
    <row r="46" spans="1:22">
      <c r="A46" s="23">
        <f t="shared" ref="A46:A81" si="14">A45+1</f>
        <v>46</v>
      </c>
      <c r="B46" s="163" t="s">
        <v>183</v>
      </c>
      <c r="C46" s="228"/>
      <c r="D46" s="110">
        <f t="shared" ref="D46:O46" si="15">ROUND(SUM(D102:D105)*D3,2)</f>
        <v>1248.5</v>
      </c>
      <c r="E46" s="110">
        <f t="shared" si="15"/>
        <v>1248.5</v>
      </c>
      <c r="F46" s="110">
        <f t="shared" si="15"/>
        <v>1248.5</v>
      </c>
      <c r="G46" s="110">
        <f t="shared" si="15"/>
        <v>1248.5</v>
      </c>
      <c r="H46" s="110">
        <f t="shared" si="15"/>
        <v>1248.5</v>
      </c>
      <c r="I46" s="110">
        <f t="shared" si="15"/>
        <v>1248.5</v>
      </c>
      <c r="J46" s="110">
        <f t="shared" si="15"/>
        <v>1248.5</v>
      </c>
      <c r="K46" s="110">
        <f t="shared" si="15"/>
        <v>1248.5</v>
      </c>
      <c r="L46" s="110">
        <f t="shared" si="15"/>
        <v>169.84</v>
      </c>
      <c r="M46" s="110">
        <f t="shared" si="15"/>
        <v>1273.8</v>
      </c>
      <c r="N46" s="110">
        <f t="shared" si="15"/>
        <v>1273.8</v>
      </c>
      <c r="O46" s="110">
        <f t="shared" si="15"/>
        <v>1273.8</v>
      </c>
      <c r="P46" s="111">
        <f t="shared" si="12"/>
        <v>13979.239999999998</v>
      </c>
      <c r="Q46" s="92"/>
      <c r="R46" s="92"/>
      <c r="S46" s="92"/>
      <c r="T46" s="92"/>
      <c r="U46" s="92"/>
      <c r="V46" s="92"/>
    </row>
    <row r="47" spans="1:22">
      <c r="A47" s="23">
        <f t="shared" si="14"/>
        <v>47</v>
      </c>
      <c r="B47" s="163" t="s">
        <v>184</v>
      </c>
      <c r="C47" s="228"/>
      <c r="D47" s="110">
        <f t="shared" ref="D47:O47" si="16">ROUND(D11*D$7*D3/12,2)</f>
        <v>0</v>
      </c>
      <c r="E47" s="110">
        <f t="shared" si="16"/>
        <v>0</v>
      </c>
      <c r="F47" s="110">
        <f t="shared" si="16"/>
        <v>0</v>
      </c>
      <c r="G47" s="110">
        <f t="shared" si="16"/>
        <v>0</v>
      </c>
      <c r="H47" s="110">
        <f t="shared" si="16"/>
        <v>0</v>
      </c>
      <c r="I47" s="110">
        <f t="shared" si="16"/>
        <v>0</v>
      </c>
      <c r="J47" s="110">
        <f t="shared" si="16"/>
        <v>0</v>
      </c>
      <c r="K47" s="110">
        <f t="shared" si="16"/>
        <v>0</v>
      </c>
      <c r="L47" s="110">
        <f t="shared" si="16"/>
        <v>0</v>
      </c>
      <c r="M47" s="110">
        <f t="shared" si="16"/>
        <v>0</v>
      </c>
      <c r="N47" s="110">
        <f t="shared" si="16"/>
        <v>0</v>
      </c>
      <c r="O47" s="110">
        <f t="shared" si="16"/>
        <v>0</v>
      </c>
      <c r="P47" s="111">
        <f t="shared" si="12"/>
        <v>0</v>
      </c>
      <c r="Q47" s="92"/>
      <c r="R47" s="92"/>
      <c r="S47" s="92"/>
      <c r="T47" s="92"/>
      <c r="U47" s="92"/>
      <c r="V47" s="92"/>
    </row>
    <row r="48" spans="1:22">
      <c r="A48" s="23">
        <f t="shared" si="14"/>
        <v>48</v>
      </c>
      <c r="B48" s="163" t="s">
        <v>185</v>
      </c>
      <c r="C48" s="228"/>
      <c r="D48" s="110">
        <f t="shared" ref="D48:O48" si="17">ROUND(D12*D$7*D3/12,2)</f>
        <v>0</v>
      </c>
      <c r="E48" s="110">
        <f t="shared" si="17"/>
        <v>0</v>
      </c>
      <c r="F48" s="110">
        <f t="shared" si="17"/>
        <v>0</v>
      </c>
      <c r="G48" s="110">
        <f t="shared" si="17"/>
        <v>0</v>
      </c>
      <c r="H48" s="110">
        <f t="shared" si="17"/>
        <v>0</v>
      </c>
      <c r="I48" s="110">
        <f t="shared" si="17"/>
        <v>0</v>
      </c>
      <c r="J48" s="110">
        <f t="shared" si="17"/>
        <v>0</v>
      </c>
      <c r="K48" s="110">
        <f t="shared" si="17"/>
        <v>0</v>
      </c>
      <c r="L48" s="110">
        <f t="shared" si="17"/>
        <v>0</v>
      </c>
      <c r="M48" s="110">
        <f t="shared" si="17"/>
        <v>0</v>
      </c>
      <c r="N48" s="110">
        <f t="shared" si="17"/>
        <v>0</v>
      </c>
      <c r="O48" s="110">
        <f t="shared" si="17"/>
        <v>0</v>
      </c>
      <c r="P48" s="111">
        <f t="shared" si="12"/>
        <v>0</v>
      </c>
      <c r="Q48" s="92"/>
      <c r="R48" s="92"/>
      <c r="S48" s="92"/>
      <c r="T48" s="92"/>
      <c r="U48" s="92"/>
      <c r="V48" s="92"/>
    </row>
    <row r="49" spans="1:22">
      <c r="A49" s="23">
        <f t="shared" si="14"/>
        <v>49</v>
      </c>
      <c r="B49" s="163" t="s">
        <v>186</v>
      </c>
      <c r="C49" s="228"/>
      <c r="D49" s="110">
        <f t="shared" ref="D49:O49" si="18">ROUND(D13*D$7/12*D3,2)</f>
        <v>0</v>
      </c>
      <c r="E49" s="110">
        <f t="shared" si="18"/>
        <v>0</v>
      </c>
      <c r="F49" s="110">
        <f t="shared" si="18"/>
        <v>0</v>
      </c>
      <c r="G49" s="110">
        <f t="shared" si="18"/>
        <v>0</v>
      </c>
      <c r="H49" s="110">
        <f t="shared" si="18"/>
        <v>0</v>
      </c>
      <c r="I49" s="110">
        <f t="shared" si="18"/>
        <v>0</v>
      </c>
      <c r="J49" s="110">
        <f t="shared" si="18"/>
        <v>0</v>
      </c>
      <c r="K49" s="110">
        <f t="shared" si="18"/>
        <v>0</v>
      </c>
      <c r="L49" s="110">
        <f t="shared" si="18"/>
        <v>0</v>
      </c>
      <c r="M49" s="110">
        <f t="shared" si="18"/>
        <v>0</v>
      </c>
      <c r="N49" s="110">
        <f t="shared" si="18"/>
        <v>0</v>
      </c>
      <c r="O49" s="110">
        <f t="shared" si="18"/>
        <v>0</v>
      </c>
      <c r="P49" s="111">
        <f t="shared" si="12"/>
        <v>0</v>
      </c>
      <c r="Q49" s="92"/>
      <c r="R49" s="92"/>
      <c r="S49" s="92"/>
      <c r="T49" s="92"/>
      <c r="U49" s="92"/>
      <c r="V49" s="92"/>
    </row>
    <row r="50" spans="1:22">
      <c r="A50" s="23">
        <f t="shared" si="14"/>
        <v>50</v>
      </c>
      <c r="B50" s="163" t="s">
        <v>187</v>
      </c>
      <c r="C50" s="228"/>
      <c r="D50" s="110">
        <f t="shared" ref="D50:O50" si="19">ROUND(D14*D$7/12*D3,2)</f>
        <v>0</v>
      </c>
      <c r="E50" s="110">
        <f t="shared" si="19"/>
        <v>0</v>
      </c>
      <c r="F50" s="110">
        <f t="shared" si="19"/>
        <v>0</v>
      </c>
      <c r="G50" s="110">
        <f t="shared" si="19"/>
        <v>0</v>
      </c>
      <c r="H50" s="110">
        <f t="shared" si="19"/>
        <v>0</v>
      </c>
      <c r="I50" s="110">
        <f t="shared" si="19"/>
        <v>0</v>
      </c>
      <c r="J50" s="110">
        <f t="shared" si="19"/>
        <v>0</v>
      </c>
      <c r="K50" s="110">
        <f t="shared" si="19"/>
        <v>0</v>
      </c>
      <c r="L50" s="110">
        <f t="shared" si="19"/>
        <v>0</v>
      </c>
      <c r="M50" s="110">
        <f t="shared" si="19"/>
        <v>0</v>
      </c>
      <c r="N50" s="110">
        <f t="shared" si="19"/>
        <v>0</v>
      </c>
      <c r="O50" s="110">
        <f t="shared" si="19"/>
        <v>0</v>
      </c>
      <c r="P50" s="111">
        <f t="shared" si="12"/>
        <v>0</v>
      </c>
      <c r="Q50" s="92"/>
      <c r="R50" s="92"/>
      <c r="S50" s="92"/>
      <c r="T50" s="92"/>
      <c r="U50" s="92"/>
      <c r="V50" s="92"/>
    </row>
    <row r="51" spans="1:22">
      <c r="A51" s="23">
        <f t="shared" si="14"/>
        <v>51</v>
      </c>
      <c r="B51" s="163" t="s">
        <v>188</v>
      </c>
      <c r="C51" s="228"/>
      <c r="D51" s="110">
        <f t="shared" ref="D51:O51" si="20">ROUND(D15*D$7/12*D3,2)</f>
        <v>0</v>
      </c>
      <c r="E51" s="110">
        <f t="shared" si="20"/>
        <v>0</v>
      </c>
      <c r="F51" s="110">
        <f t="shared" si="20"/>
        <v>0</v>
      </c>
      <c r="G51" s="110">
        <f t="shared" si="20"/>
        <v>0</v>
      </c>
      <c r="H51" s="110">
        <f t="shared" si="20"/>
        <v>0</v>
      </c>
      <c r="I51" s="110">
        <f t="shared" si="20"/>
        <v>0</v>
      </c>
      <c r="J51" s="110">
        <f t="shared" si="20"/>
        <v>0</v>
      </c>
      <c r="K51" s="110">
        <f t="shared" si="20"/>
        <v>0</v>
      </c>
      <c r="L51" s="110">
        <f t="shared" si="20"/>
        <v>0</v>
      </c>
      <c r="M51" s="110">
        <f t="shared" si="20"/>
        <v>0</v>
      </c>
      <c r="N51" s="110">
        <f t="shared" si="20"/>
        <v>0</v>
      </c>
      <c r="O51" s="110">
        <f t="shared" si="20"/>
        <v>0</v>
      </c>
      <c r="P51" s="111">
        <f t="shared" si="12"/>
        <v>0</v>
      </c>
      <c r="Q51" s="92"/>
      <c r="R51" s="92"/>
      <c r="S51" s="92"/>
      <c r="T51" s="92"/>
      <c r="U51" s="92"/>
      <c r="V51" s="92"/>
    </row>
    <row r="52" spans="1:22">
      <c r="A52" s="23">
        <f t="shared" si="14"/>
        <v>52</v>
      </c>
      <c r="B52" s="163" t="s">
        <v>189</v>
      </c>
      <c r="C52" s="228"/>
      <c r="D52" s="110">
        <f t="shared" ref="D52:O52" si="21">ROUND(D16*D$7*D$9/12*D3,2)</f>
        <v>980.79</v>
      </c>
      <c r="E52" s="110">
        <f t="shared" si="21"/>
        <v>980.79</v>
      </c>
      <c r="F52" s="110">
        <f t="shared" si="21"/>
        <v>980.79</v>
      </c>
      <c r="G52" s="110">
        <f t="shared" si="21"/>
        <v>980.79</v>
      </c>
      <c r="H52" s="110">
        <f t="shared" si="21"/>
        <v>980.79</v>
      </c>
      <c r="I52" s="110">
        <f t="shared" si="21"/>
        <v>980.79</v>
      </c>
      <c r="J52" s="110">
        <f t="shared" si="21"/>
        <v>980.79</v>
      </c>
      <c r="K52" s="110">
        <f t="shared" si="21"/>
        <v>980.79</v>
      </c>
      <c r="L52" s="110">
        <f t="shared" si="21"/>
        <v>133.41</v>
      </c>
      <c r="M52" s="110">
        <f t="shared" si="21"/>
        <v>1000.6</v>
      </c>
      <c r="N52" s="110">
        <f t="shared" si="21"/>
        <v>1000.6</v>
      </c>
      <c r="O52" s="110">
        <f t="shared" si="21"/>
        <v>1000.6</v>
      </c>
      <c r="P52" s="111">
        <f t="shared" si="12"/>
        <v>10981.53</v>
      </c>
      <c r="Q52" s="92"/>
      <c r="R52" s="92"/>
      <c r="S52" s="92"/>
      <c r="T52" s="92"/>
      <c r="U52" s="92"/>
      <c r="V52" s="92"/>
    </row>
    <row r="53" spans="1:22">
      <c r="A53" s="23">
        <f t="shared" si="14"/>
        <v>53</v>
      </c>
      <c r="B53" s="163" t="s">
        <v>190</v>
      </c>
      <c r="C53" s="228"/>
      <c r="D53" s="110">
        <f t="shared" ref="D53:O53" si="22">ROUND(D17*D$7*D$9/12*D3,2)</f>
        <v>0</v>
      </c>
      <c r="E53" s="110">
        <f t="shared" si="22"/>
        <v>0</v>
      </c>
      <c r="F53" s="110">
        <f t="shared" si="22"/>
        <v>0</v>
      </c>
      <c r="G53" s="110">
        <f t="shared" si="22"/>
        <v>0</v>
      </c>
      <c r="H53" s="110">
        <f t="shared" si="22"/>
        <v>0</v>
      </c>
      <c r="I53" s="110">
        <f t="shared" si="22"/>
        <v>0</v>
      </c>
      <c r="J53" s="110">
        <f t="shared" si="22"/>
        <v>0</v>
      </c>
      <c r="K53" s="110">
        <f t="shared" si="22"/>
        <v>0</v>
      </c>
      <c r="L53" s="110">
        <f t="shared" si="22"/>
        <v>0</v>
      </c>
      <c r="M53" s="110">
        <f t="shared" si="22"/>
        <v>0</v>
      </c>
      <c r="N53" s="110">
        <f t="shared" si="22"/>
        <v>0</v>
      </c>
      <c r="O53" s="110">
        <f t="shared" si="22"/>
        <v>0</v>
      </c>
      <c r="P53" s="111">
        <f t="shared" si="12"/>
        <v>0</v>
      </c>
      <c r="Q53" s="92"/>
      <c r="R53" s="92"/>
      <c r="S53" s="92"/>
      <c r="T53" s="92"/>
      <c r="U53" s="92"/>
      <c r="V53" s="92"/>
    </row>
    <row r="54" spans="1:22">
      <c r="A54" s="23">
        <f t="shared" si="14"/>
        <v>54</v>
      </c>
      <c r="B54" s="163" t="s">
        <v>125</v>
      </c>
      <c r="C54" s="228"/>
      <c r="D54" s="110">
        <f t="shared" ref="D54:O54" si="23">ROUND(D18*D$7*D$9/12*D3,2)</f>
        <v>0</v>
      </c>
      <c r="E54" s="110">
        <f t="shared" si="23"/>
        <v>0</v>
      </c>
      <c r="F54" s="110">
        <f t="shared" si="23"/>
        <v>0</v>
      </c>
      <c r="G54" s="110">
        <f t="shared" si="23"/>
        <v>0</v>
      </c>
      <c r="H54" s="110">
        <f t="shared" si="23"/>
        <v>0</v>
      </c>
      <c r="I54" s="110">
        <f t="shared" si="23"/>
        <v>0</v>
      </c>
      <c r="J54" s="110">
        <f t="shared" si="23"/>
        <v>0</v>
      </c>
      <c r="K54" s="110">
        <f t="shared" si="23"/>
        <v>0</v>
      </c>
      <c r="L54" s="110">
        <f t="shared" si="23"/>
        <v>0</v>
      </c>
      <c r="M54" s="110">
        <f t="shared" si="23"/>
        <v>0</v>
      </c>
      <c r="N54" s="110">
        <f t="shared" si="23"/>
        <v>0</v>
      </c>
      <c r="O54" s="110">
        <f t="shared" si="23"/>
        <v>0</v>
      </c>
      <c r="P54" s="111">
        <f t="shared" si="12"/>
        <v>0</v>
      </c>
      <c r="Q54" s="92"/>
      <c r="R54" s="92"/>
      <c r="S54" s="92"/>
      <c r="T54" s="92"/>
      <c r="U54" s="92"/>
      <c r="V54" s="92"/>
    </row>
    <row r="55" spans="1:22">
      <c r="A55" s="23">
        <f t="shared" si="14"/>
        <v>55</v>
      </c>
      <c r="B55" s="163" t="s">
        <v>116</v>
      </c>
      <c r="C55" s="228"/>
      <c r="D55" s="110">
        <f t="shared" ref="D55:O55" si="24">ROUND(IF(OR(D$5="A",D$5="B"),MAX(309053.63+42334.32*(LEFT(D$4)="L")-VLOOKUP(D4,basistabel12,2,0)-(D$15+D$16+D$18),0),0)/12*D$7*D$9*D3,2)</f>
        <v>0</v>
      </c>
      <c r="E55" s="110">
        <f t="shared" si="24"/>
        <v>0</v>
      </c>
      <c r="F55" s="110">
        <f t="shared" si="24"/>
        <v>0</v>
      </c>
      <c r="G55" s="110">
        <f t="shared" si="24"/>
        <v>0</v>
      </c>
      <c r="H55" s="110">
        <f t="shared" si="24"/>
        <v>0</v>
      </c>
      <c r="I55" s="110">
        <f t="shared" si="24"/>
        <v>0</v>
      </c>
      <c r="J55" s="110">
        <f t="shared" si="24"/>
        <v>0</v>
      </c>
      <c r="K55" s="110">
        <f t="shared" si="24"/>
        <v>0</v>
      </c>
      <c r="L55" s="110">
        <f t="shared" si="24"/>
        <v>0</v>
      </c>
      <c r="M55" s="110">
        <f t="shared" si="24"/>
        <v>0</v>
      </c>
      <c r="N55" s="110">
        <f t="shared" si="24"/>
        <v>0</v>
      </c>
      <c r="O55" s="110">
        <f t="shared" si="24"/>
        <v>0</v>
      </c>
      <c r="P55" s="111">
        <f t="shared" si="12"/>
        <v>0</v>
      </c>
      <c r="Q55" s="92"/>
      <c r="R55" s="92"/>
      <c r="S55" s="92"/>
      <c r="T55" s="92"/>
      <c r="U55" s="92"/>
      <c r="V55" s="92"/>
    </row>
    <row r="56" spans="1:22">
      <c r="A56" s="23">
        <f t="shared" si="14"/>
        <v>56</v>
      </c>
      <c r="B56" s="163" t="s">
        <v>109</v>
      </c>
      <c r="C56" s="228"/>
      <c r="D56" s="110">
        <f t="shared" ref="D56:K56" si="25">MAX(ROUND((IF(RIGHT(D4)="1",5200)+IF(OR(RIGHT(D4)="2",RIGHT(D4)="3"),7900))*D7/12*D9*D3,2)-D55,0)*(D5&lt;&gt;"B")</f>
        <v>493.52</v>
      </c>
      <c r="E56" s="110">
        <f t="shared" si="25"/>
        <v>493.52</v>
      </c>
      <c r="F56" s="110">
        <f t="shared" si="25"/>
        <v>493.52</v>
      </c>
      <c r="G56" s="110">
        <f t="shared" si="25"/>
        <v>493.52</v>
      </c>
      <c r="H56" s="110">
        <f t="shared" si="25"/>
        <v>493.52</v>
      </c>
      <c r="I56" s="110">
        <f t="shared" si="25"/>
        <v>493.52</v>
      </c>
      <c r="J56" s="110">
        <f t="shared" si="25"/>
        <v>493.52</v>
      </c>
      <c r="K56" s="110">
        <f t="shared" si="25"/>
        <v>493.52</v>
      </c>
      <c r="L56" s="110">
        <f>MAX(ROUND((IF(RIGHT(L4)="1",5200)+IF(OR(RIGHT(L4)="2",RIGHT(L4)="3"),7900))*L7/12*L9*L3,2)-L55,0)*(L5&lt;&gt;"B")</f>
        <v>67.13</v>
      </c>
      <c r="M56" s="110">
        <f>MAX(ROUND((IF(RIGHT(M4)="1",5200)+IF(OR(RIGHT(M4)="2",RIGHT(M4)="3"),7900))*M7/12*M9*M3,2)-M55,0)*(M5&lt;&gt;"B")</f>
        <v>503.49</v>
      </c>
      <c r="N56" s="110">
        <f>MAX(ROUND((IF(RIGHT(N4)="1",5200)+IF(OR(RIGHT(N4)="2",RIGHT(N4)="3"),7900))*N7/12*N9*N3,2)-N55,0)*(N5&lt;&gt;"B")</f>
        <v>503.49</v>
      </c>
      <c r="O56" s="110">
        <f>MAX(ROUND((IF(RIGHT(O4)="1",5200)+IF(OR(RIGHT(O4)="2",RIGHT(O4)="3"),7900))*O7/12*O9*O3,2)-O55,0)*(O5&lt;&gt;"B")</f>
        <v>503.49</v>
      </c>
      <c r="P56" s="111">
        <f t="shared" si="12"/>
        <v>5525.7599999999993</v>
      </c>
      <c r="Q56" s="92"/>
      <c r="R56" s="92"/>
      <c r="S56" s="92"/>
      <c r="T56" s="92"/>
      <c r="U56" s="92"/>
      <c r="V56" s="92"/>
    </row>
    <row r="57" spans="1:22">
      <c r="A57" s="23">
        <f t="shared" si="14"/>
        <v>57</v>
      </c>
      <c r="B57" s="163" t="s">
        <v>110</v>
      </c>
      <c r="C57" s="228"/>
      <c r="D57" s="216">
        <f t="shared" ref="D57:K57" si="26">MAX(ROUND((IF(RIGHT(D4)="1",5200)+IF(OR(RIGHT(D4)="2",RIGHT(D4)="3"),7900))*D7/12*D9*D3,2)-D55,0)*(D5="B")</f>
        <v>0</v>
      </c>
      <c r="E57" s="216">
        <f t="shared" si="26"/>
        <v>0</v>
      </c>
      <c r="F57" s="216">
        <f t="shared" si="26"/>
        <v>0</v>
      </c>
      <c r="G57" s="216">
        <f t="shared" si="26"/>
        <v>0</v>
      </c>
      <c r="H57" s="216">
        <f t="shared" si="26"/>
        <v>0</v>
      </c>
      <c r="I57" s="216">
        <f t="shared" si="26"/>
        <v>0</v>
      </c>
      <c r="J57" s="216">
        <f t="shared" si="26"/>
        <v>0</v>
      </c>
      <c r="K57" s="216">
        <f t="shared" si="26"/>
        <v>0</v>
      </c>
      <c r="L57" s="216">
        <f>MAX(ROUND((IF(RIGHT(L4)="1",5200)+IF(OR(RIGHT(L4)="2",RIGHT(L4)="3"),7900))*L7/12*L9*L3,2)-L55,0)*(L5="B")</f>
        <v>0</v>
      </c>
      <c r="M57" s="216">
        <f>MAX(ROUND((IF(RIGHT(M4)="1",5200)+IF(OR(RIGHT(M4)="2",RIGHT(M4)="3"),7900))*M7/12*M9*M3,2)-M55,0)*(M5="B")</f>
        <v>0</v>
      </c>
      <c r="N57" s="216">
        <f>MAX(ROUND((IF(RIGHT(N4)="1",5200)+IF(OR(RIGHT(N4)="2",RIGHT(N4)="3"),7900))*N7/12*N9*N3,2)-N55,0)*(N5="B")</f>
        <v>0</v>
      </c>
      <c r="O57" s="216">
        <f>MAX(ROUND((IF(RIGHT(O4)="1",5200)+IF(OR(RIGHT(O4)="2",RIGHT(O4)="3"),7900))*O7/12*O9*O3,2)-O55,0)*(O5="B")</f>
        <v>0</v>
      </c>
      <c r="P57" s="111">
        <f t="shared" si="12"/>
        <v>0</v>
      </c>
      <c r="Q57" s="92"/>
      <c r="R57" s="92"/>
      <c r="S57" s="92"/>
      <c r="T57" s="92"/>
      <c r="U57" s="92"/>
      <c r="V57" s="92"/>
    </row>
    <row r="58" spans="1:22">
      <c r="A58" s="23">
        <f t="shared" si="14"/>
        <v>58</v>
      </c>
      <c r="B58" s="163" t="s">
        <v>191</v>
      </c>
      <c r="C58" s="228"/>
      <c r="D58" s="110">
        <f t="shared" ref="D58:K58" si="27">IF(D44&gt;0,ROUND(IF(D$9&gt;=0.5,708*D$7,354*D$7)/12*D3,2),0)</f>
        <v>59.77</v>
      </c>
      <c r="E58" s="110">
        <f t="shared" si="27"/>
        <v>59.77</v>
      </c>
      <c r="F58" s="110">
        <f t="shared" si="27"/>
        <v>59.77</v>
      </c>
      <c r="G58" s="110">
        <f t="shared" si="27"/>
        <v>59.77</v>
      </c>
      <c r="H58" s="110">
        <f t="shared" si="27"/>
        <v>59.77</v>
      </c>
      <c r="I58" s="110">
        <f t="shared" si="27"/>
        <v>59.77</v>
      </c>
      <c r="J58" s="110">
        <f t="shared" si="27"/>
        <v>59.77</v>
      </c>
      <c r="K58" s="110">
        <f t="shared" si="27"/>
        <v>59.77</v>
      </c>
      <c r="L58" s="110">
        <f>IF(L44&gt;0,ROUND(IF(L$9&gt;=0.5,708*L$7,354*L$7)/12*L3,2),0)</f>
        <v>8.1300000000000008</v>
      </c>
      <c r="M58" s="110">
        <f>IF(M44&gt;0,ROUND(IF(M$9&gt;=0.5,708*M$7,354*M$7)/12*M3,2),0)</f>
        <v>60.98</v>
      </c>
      <c r="N58" s="110">
        <f>IF(N44&gt;0,ROUND(IF(N$9&gt;=0.5,708*N$7,354*N$7)/12*N3,2),0)</f>
        <v>60.98</v>
      </c>
      <c r="O58" s="110">
        <f>IF(O44&gt;0,ROUND(IF(O$9&gt;=0.5,708*O$7,354*O$7)/12*O3,2),0)</f>
        <v>60.98</v>
      </c>
      <c r="P58" s="111">
        <f t="shared" si="12"/>
        <v>669.23</v>
      </c>
      <c r="Q58" s="92"/>
      <c r="R58" s="92"/>
      <c r="S58" s="92"/>
      <c r="T58" s="92"/>
      <c r="U58" s="92"/>
      <c r="V58" s="92"/>
    </row>
    <row r="59" spans="1:22">
      <c r="A59" s="23">
        <f t="shared" si="14"/>
        <v>59</v>
      </c>
      <c r="B59" s="163" t="s">
        <v>171</v>
      </c>
      <c r="C59" s="228"/>
      <c r="D59" s="110">
        <f t="shared" ref="D59:O59" si="28">D20*D3</f>
        <v>0</v>
      </c>
      <c r="E59" s="110">
        <f t="shared" si="28"/>
        <v>0</v>
      </c>
      <c r="F59" s="110">
        <f t="shared" si="28"/>
        <v>0</v>
      </c>
      <c r="G59" s="110">
        <f t="shared" si="28"/>
        <v>0</v>
      </c>
      <c r="H59" s="110">
        <f t="shared" si="28"/>
        <v>0</v>
      </c>
      <c r="I59" s="110">
        <f t="shared" si="28"/>
        <v>0</v>
      </c>
      <c r="J59" s="110">
        <f t="shared" si="28"/>
        <v>0</v>
      </c>
      <c r="K59" s="110">
        <f t="shared" si="28"/>
        <v>0</v>
      </c>
      <c r="L59" s="110">
        <f t="shared" si="28"/>
        <v>0</v>
      </c>
      <c r="M59" s="110">
        <f t="shared" si="28"/>
        <v>0</v>
      </c>
      <c r="N59" s="110">
        <f t="shared" si="28"/>
        <v>0</v>
      </c>
      <c r="O59" s="110">
        <f t="shared" si="28"/>
        <v>0</v>
      </c>
      <c r="P59" s="111">
        <f t="shared" si="12"/>
        <v>0</v>
      </c>
      <c r="Q59" s="92"/>
      <c r="R59" s="92"/>
      <c r="S59" s="92"/>
      <c r="T59" s="92"/>
      <c r="U59" s="92"/>
      <c r="V59" s="92"/>
    </row>
    <row r="60" spans="1:22">
      <c r="A60" s="23">
        <f t="shared" si="14"/>
        <v>60</v>
      </c>
      <c r="B60" s="163" t="s">
        <v>172</v>
      </c>
      <c r="C60" s="228"/>
      <c r="D60" s="216">
        <f t="shared" ref="D60:O60" si="29">IF(D9&gt;0,108.35*D3,0)</f>
        <v>108.35</v>
      </c>
      <c r="E60" s="216">
        <f t="shared" si="29"/>
        <v>108.35</v>
      </c>
      <c r="F60" s="216">
        <f t="shared" si="29"/>
        <v>108.35</v>
      </c>
      <c r="G60" s="216">
        <f t="shared" si="29"/>
        <v>108.35</v>
      </c>
      <c r="H60" s="216">
        <f t="shared" si="29"/>
        <v>108.35</v>
      </c>
      <c r="I60" s="216">
        <f t="shared" si="29"/>
        <v>108.35</v>
      </c>
      <c r="J60" s="216">
        <f t="shared" si="29"/>
        <v>108.35</v>
      </c>
      <c r="K60" s="216">
        <f t="shared" si="29"/>
        <v>108.35</v>
      </c>
      <c r="L60" s="216">
        <f t="shared" si="29"/>
        <v>14.446666666666665</v>
      </c>
      <c r="M60" s="216">
        <f t="shared" si="29"/>
        <v>108.35</v>
      </c>
      <c r="N60" s="216">
        <f t="shared" si="29"/>
        <v>108.35</v>
      </c>
      <c r="O60" s="216">
        <f t="shared" si="29"/>
        <v>108.35</v>
      </c>
      <c r="P60" s="111">
        <f t="shared" si="12"/>
        <v>1206.2966666666666</v>
      </c>
      <c r="Q60" s="92"/>
      <c r="R60" s="92"/>
      <c r="S60" s="92"/>
      <c r="T60" s="92"/>
      <c r="U60" s="92"/>
      <c r="V60" s="92"/>
    </row>
    <row r="61" spans="1:22">
      <c r="A61" s="23">
        <f t="shared" si="14"/>
        <v>61</v>
      </c>
      <c r="B61" s="163" t="s">
        <v>266</v>
      </c>
      <c r="C61" s="228"/>
      <c r="D61" s="216">
        <f t="shared" ref="D61:O61" si="30">-(MAX(0,MIN(D21,D22))+D25)*4.62%*SUM(D44:D60)</f>
        <v>0</v>
      </c>
      <c r="E61" s="216">
        <f t="shared" si="30"/>
        <v>0</v>
      </c>
      <c r="F61" s="216">
        <f t="shared" si="30"/>
        <v>0</v>
      </c>
      <c r="G61" s="216">
        <f t="shared" si="30"/>
        <v>0</v>
      </c>
      <c r="H61" s="216">
        <f t="shared" si="30"/>
        <v>0</v>
      </c>
      <c r="I61" s="216">
        <f t="shared" si="30"/>
        <v>0</v>
      </c>
      <c r="J61" s="216">
        <f t="shared" si="30"/>
        <v>0</v>
      </c>
      <c r="K61" s="216">
        <f t="shared" si="30"/>
        <v>0</v>
      </c>
      <c r="L61" s="216">
        <f t="shared" si="30"/>
        <v>0</v>
      </c>
      <c r="M61" s="216">
        <f t="shared" si="30"/>
        <v>-9.7081907999999978E-5</v>
      </c>
      <c r="N61" s="216">
        <f t="shared" si="30"/>
        <v>0</v>
      </c>
      <c r="O61" s="216">
        <f t="shared" si="30"/>
        <v>0</v>
      </c>
      <c r="P61" s="111">
        <f t="shared" si="12"/>
        <v>-9.7081907999999978E-5</v>
      </c>
      <c r="Q61" s="92"/>
      <c r="R61" s="92"/>
      <c r="S61" s="92"/>
      <c r="T61" s="92"/>
      <c r="U61" s="92"/>
      <c r="V61" s="92"/>
    </row>
    <row r="62" spans="1:22">
      <c r="A62" s="23">
        <f t="shared" si="14"/>
        <v>62</v>
      </c>
      <c r="B62" s="163" t="s">
        <v>205</v>
      </c>
      <c r="C62" s="228"/>
      <c r="D62" s="216">
        <f>(D21-D22)*4.62%*(D23-D9)*(D3=1)*IF(D9&gt;0,(D44+D45+D52+D53+D54+D55+D56+D57)/D9,0)*(D23&gt;0)</f>
        <v>-470.78493499459461</v>
      </c>
      <c r="E62" s="216">
        <f t="shared" ref="E62:K62" si="31">(E21-E22)*4.62%*(E23-E9)*(E3=1)*IF(E9&gt;0,(E44+E45+E52+E53+E54+E55+E56+E57)/E9,0)*(E23&gt;0)</f>
        <v>0</v>
      </c>
      <c r="F62" s="216">
        <f t="shared" si="31"/>
        <v>0</v>
      </c>
      <c r="G62" s="216">
        <f t="shared" si="31"/>
        <v>0</v>
      </c>
      <c r="H62" s="216">
        <f t="shared" si="31"/>
        <v>0</v>
      </c>
      <c r="I62" s="216">
        <f t="shared" si="31"/>
        <v>0</v>
      </c>
      <c r="J62" s="216">
        <f t="shared" si="31"/>
        <v>0</v>
      </c>
      <c r="K62" s="216">
        <f t="shared" si="31"/>
        <v>0</v>
      </c>
      <c r="L62" s="110">
        <f>(L21-L22)*4.62%*(L24-L9)*(L3=1)*IF(L9&gt;0,(L44+L45+L52+L53+L54+L55+L56+L57)/L9,0)*(L24&gt;0)</f>
        <v>0</v>
      </c>
      <c r="M62" s="110">
        <f>(M21-M22)*4.62%*(M24-M9)*(M3=1)*IF(M9&gt;0,(M44+M45+M52+M53+M54+M55+M56+M57)/M9,0)*(M24&gt;0)</f>
        <v>-5.6020426801216277E-6</v>
      </c>
      <c r="N62" s="110">
        <f>(N21-N22)*4.62%*(N24-N9)*(N3=1)*IF(N9&gt;0,(N44+N45+N52+N53+N54+N55+N56+N57)/N9,0)*(N24&gt;0)</f>
        <v>0</v>
      </c>
      <c r="O62" s="110">
        <f>(O21-O22)*4.62%*(O24-O9)*(O3=1)*IF(O9&gt;0,(O44+O45+O52+O53+O54+O55+O56+O57)/O9,0)*(O24&gt;0)</f>
        <v>-1120.4085360243257</v>
      </c>
      <c r="P62" s="111">
        <f t="shared" si="12"/>
        <v>-1591.1934766209629</v>
      </c>
      <c r="Q62" s="92"/>
      <c r="R62" s="92"/>
      <c r="S62" s="92"/>
      <c r="T62" s="92"/>
      <c r="U62" s="92"/>
      <c r="V62" s="92"/>
    </row>
    <row r="63" spans="1:22">
      <c r="A63" s="23">
        <f t="shared" si="14"/>
        <v>63</v>
      </c>
      <c r="B63" s="163" t="s">
        <v>192</v>
      </c>
      <c r="C63" s="228"/>
      <c r="D63" s="110">
        <f t="shared" ref="D63:O63" si="32">SUM(D32:D42)+MAX(D31-8000,0)</f>
        <v>0</v>
      </c>
      <c r="E63" s="110">
        <f t="shared" si="32"/>
        <v>0</v>
      </c>
      <c r="F63" s="110">
        <f t="shared" si="32"/>
        <v>0</v>
      </c>
      <c r="G63" s="110">
        <f t="shared" si="32"/>
        <v>0</v>
      </c>
      <c r="H63" s="110">
        <f t="shared" si="32"/>
        <v>0</v>
      </c>
      <c r="I63" s="110">
        <f t="shared" si="32"/>
        <v>0</v>
      </c>
      <c r="J63" s="110">
        <f t="shared" si="32"/>
        <v>0</v>
      </c>
      <c r="K63" s="110">
        <f t="shared" si="32"/>
        <v>0</v>
      </c>
      <c r="L63" s="110">
        <f t="shared" si="32"/>
        <v>0</v>
      </c>
      <c r="M63" s="110">
        <f t="shared" si="32"/>
        <v>3376.77</v>
      </c>
      <c r="N63" s="110">
        <f t="shared" si="32"/>
        <v>0</v>
      </c>
      <c r="O63" s="110">
        <f t="shared" si="32"/>
        <v>0</v>
      </c>
      <c r="P63" s="111">
        <f t="shared" si="12"/>
        <v>3376.77</v>
      </c>
      <c r="Q63" s="92"/>
      <c r="R63" s="92"/>
      <c r="S63" s="92"/>
      <c r="T63" s="92"/>
      <c r="U63" s="92"/>
      <c r="V63" s="92"/>
    </row>
    <row r="64" spans="1:22">
      <c r="A64" s="23">
        <f t="shared" si="14"/>
        <v>64</v>
      </c>
      <c r="B64" s="189" t="s">
        <v>22</v>
      </c>
      <c r="C64" s="228"/>
      <c r="D64" s="217">
        <f t="shared" ref="D64:O64" si="33">SUM(D28:D30)+IF(D31&gt;0,MIN(D31,8000),0)</f>
        <v>0</v>
      </c>
      <c r="E64" s="217">
        <f t="shared" si="33"/>
        <v>0</v>
      </c>
      <c r="F64" s="217">
        <f t="shared" si="33"/>
        <v>0</v>
      </c>
      <c r="G64" s="217">
        <f t="shared" si="33"/>
        <v>0</v>
      </c>
      <c r="H64" s="217">
        <f t="shared" si="33"/>
        <v>0</v>
      </c>
      <c r="I64" s="217">
        <f t="shared" si="33"/>
        <v>0</v>
      </c>
      <c r="J64" s="217">
        <f t="shared" si="33"/>
        <v>0</v>
      </c>
      <c r="K64" s="217">
        <f t="shared" si="33"/>
        <v>0</v>
      </c>
      <c r="L64" s="217">
        <f t="shared" si="33"/>
        <v>0</v>
      </c>
      <c r="M64" s="217">
        <f t="shared" si="33"/>
        <v>0</v>
      </c>
      <c r="N64" s="217">
        <f t="shared" si="33"/>
        <v>0</v>
      </c>
      <c r="O64" s="217">
        <f t="shared" si="33"/>
        <v>0</v>
      </c>
      <c r="P64" s="112">
        <f t="shared" si="12"/>
        <v>0</v>
      </c>
      <c r="Q64" s="92"/>
      <c r="R64" s="92"/>
      <c r="S64" s="92"/>
      <c r="T64" s="92"/>
      <c r="U64" s="92"/>
      <c r="V64" s="92"/>
    </row>
    <row r="65" spans="1:22">
      <c r="A65" s="23">
        <f t="shared" si="14"/>
        <v>65</v>
      </c>
      <c r="B65" s="77" t="s">
        <v>114</v>
      </c>
      <c r="C65" s="229"/>
      <c r="D65" s="218">
        <f>SUM(D44:D64)</f>
        <v>20133.395065005407</v>
      </c>
      <c r="E65" s="218">
        <f t="shared" ref="E65:O65" si="34">SUM(E44:E64)</f>
        <v>20604.18</v>
      </c>
      <c r="F65" s="218">
        <f t="shared" si="34"/>
        <v>20604.18</v>
      </c>
      <c r="G65" s="218">
        <f t="shared" si="34"/>
        <v>20604.18</v>
      </c>
      <c r="H65" s="218">
        <f t="shared" si="34"/>
        <v>20604.18</v>
      </c>
      <c r="I65" s="218">
        <f t="shared" si="34"/>
        <v>20604.18</v>
      </c>
      <c r="J65" s="218">
        <f t="shared" si="34"/>
        <v>20604.18</v>
      </c>
      <c r="K65" s="218">
        <f t="shared" si="34"/>
        <v>20604.18</v>
      </c>
      <c r="L65" s="218">
        <f t="shared" si="34"/>
        <v>2801.7866666666673</v>
      </c>
      <c r="M65" s="218">
        <f t="shared" si="34"/>
        <v>24390.169897316046</v>
      </c>
      <c r="N65" s="218">
        <f t="shared" si="34"/>
        <v>21013.399999999998</v>
      </c>
      <c r="O65" s="218">
        <f t="shared" si="34"/>
        <v>19892.991463975672</v>
      </c>
      <c r="P65" s="84">
        <f t="shared" si="12"/>
        <v>232461.00309296377</v>
      </c>
      <c r="Q65" s="92"/>
      <c r="R65" s="92"/>
      <c r="S65" s="92"/>
      <c r="T65" s="92"/>
      <c r="U65" s="92"/>
      <c r="V65" s="92"/>
    </row>
    <row r="66" spans="1:22">
      <c r="A66" s="23">
        <f t="shared" si="14"/>
        <v>66</v>
      </c>
      <c r="B66" s="162" t="s">
        <v>111</v>
      </c>
      <c r="C66" s="228"/>
      <c r="D66" s="108">
        <f t="shared" ref="D66:O66" si="35">ROUND(D44*17.3%/3,2)*(D6="L")</f>
        <v>1007.6</v>
      </c>
      <c r="E66" s="108">
        <f t="shared" si="35"/>
        <v>1007.6</v>
      </c>
      <c r="F66" s="108">
        <f t="shared" si="35"/>
        <v>1007.6</v>
      </c>
      <c r="G66" s="108">
        <f t="shared" si="35"/>
        <v>1007.6</v>
      </c>
      <c r="H66" s="108">
        <f t="shared" si="35"/>
        <v>1007.6</v>
      </c>
      <c r="I66" s="108">
        <f t="shared" si="35"/>
        <v>1007.6</v>
      </c>
      <c r="J66" s="108">
        <f t="shared" si="35"/>
        <v>1007.6</v>
      </c>
      <c r="K66" s="108">
        <f t="shared" si="35"/>
        <v>1007.6</v>
      </c>
      <c r="L66" s="108">
        <f t="shared" si="35"/>
        <v>137.06</v>
      </c>
      <c r="M66" s="108">
        <f t="shared" si="35"/>
        <v>1027.95</v>
      </c>
      <c r="N66" s="108">
        <f t="shared" si="35"/>
        <v>1027.95</v>
      </c>
      <c r="O66" s="108">
        <f t="shared" si="35"/>
        <v>1027.95</v>
      </c>
      <c r="P66" s="109">
        <f t="shared" si="12"/>
        <v>11281.710000000003</v>
      </c>
      <c r="Q66" s="92"/>
      <c r="R66" s="92"/>
      <c r="S66" s="92"/>
      <c r="T66" s="92"/>
      <c r="U66" s="92"/>
      <c r="V66" s="92"/>
    </row>
    <row r="67" spans="1:22">
      <c r="A67" s="23">
        <f t="shared" si="14"/>
        <v>67</v>
      </c>
      <c r="B67" s="163" t="s">
        <v>196</v>
      </c>
      <c r="C67" s="228"/>
      <c r="D67" s="110">
        <f t="shared" ref="D67:O67" si="36">ROUND(D46*17.3%/3,2)*(D6="L")</f>
        <v>72</v>
      </c>
      <c r="E67" s="110">
        <f t="shared" si="36"/>
        <v>72</v>
      </c>
      <c r="F67" s="110">
        <f t="shared" si="36"/>
        <v>72</v>
      </c>
      <c r="G67" s="110">
        <f t="shared" si="36"/>
        <v>72</v>
      </c>
      <c r="H67" s="110">
        <f t="shared" si="36"/>
        <v>72</v>
      </c>
      <c r="I67" s="110">
        <f t="shared" si="36"/>
        <v>72</v>
      </c>
      <c r="J67" s="110">
        <f t="shared" si="36"/>
        <v>72</v>
      </c>
      <c r="K67" s="110">
        <f t="shared" si="36"/>
        <v>72</v>
      </c>
      <c r="L67" s="110">
        <f t="shared" si="36"/>
        <v>9.7899999999999991</v>
      </c>
      <c r="M67" s="110">
        <f t="shared" si="36"/>
        <v>73.459999999999994</v>
      </c>
      <c r="N67" s="110">
        <f t="shared" si="36"/>
        <v>73.459999999999994</v>
      </c>
      <c r="O67" s="110">
        <f t="shared" si="36"/>
        <v>73.459999999999994</v>
      </c>
      <c r="P67" s="111">
        <f t="shared" si="12"/>
        <v>806.17000000000007</v>
      </c>
      <c r="Q67" s="92"/>
      <c r="R67" s="92"/>
      <c r="S67" s="92"/>
      <c r="T67" s="92"/>
      <c r="U67" s="92"/>
      <c r="V67" s="92"/>
    </row>
    <row r="68" spans="1:22">
      <c r="A68" s="23">
        <f t="shared" si="14"/>
        <v>68</v>
      </c>
      <c r="B68" s="163" t="s">
        <v>112</v>
      </c>
      <c r="C68" s="228"/>
      <c r="D68" s="110">
        <f t="shared" ref="D68:O68" si="37">ROUND(D47*17.3%/3,2)</f>
        <v>0</v>
      </c>
      <c r="E68" s="110">
        <f t="shared" si="37"/>
        <v>0</v>
      </c>
      <c r="F68" s="110">
        <f t="shared" si="37"/>
        <v>0</v>
      </c>
      <c r="G68" s="110">
        <f t="shared" si="37"/>
        <v>0</v>
      </c>
      <c r="H68" s="110">
        <f t="shared" si="37"/>
        <v>0</v>
      </c>
      <c r="I68" s="110">
        <f t="shared" si="37"/>
        <v>0</v>
      </c>
      <c r="J68" s="110">
        <f t="shared" si="37"/>
        <v>0</v>
      </c>
      <c r="K68" s="110">
        <f t="shared" si="37"/>
        <v>0</v>
      </c>
      <c r="L68" s="110">
        <f t="shared" si="37"/>
        <v>0</v>
      </c>
      <c r="M68" s="110">
        <f t="shared" si="37"/>
        <v>0</v>
      </c>
      <c r="N68" s="110">
        <f t="shared" si="37"/>
        <v>0</v>
      </c>
      <c r="O68" s="110">
        <f t="shared" si="37"/>
        <v>0</v>
      </c>
      <c r="P68" s="111">
        <f t="shared" si="12"/>
        <v>0</v>
      </c>
      <c r="Q68" s="92"/>
      <c r="R68" s="92"/>
      <c r="S68" s="92"/>
      <c r="T68" s="92"/>
      <c r="U68" s="92"/>
      <c r="V68" s="92"/>
    </row>
    <row r="69" spans="1:22">
      <c r="A69" s="23">
        <f t="shared" si="14"/>
        <v>69</v>
      </c>
      <c r="B69" s="163" t="s">
        <v>203</v>
      </c>
      <c r="C69" s="228"/>
      <c r="D69" s="110">
        <f t="shared" ref="D69:O69" si="38">ROUND(D48*17.3%/3,2)*OR((D6="L"),(LEFT(D19)="J"))</f>
        <v>0</v>
      </c>
      <c r="E69" s="110">
        <f t="shared" si="38"/>
        <v>0</v>
      </c>
      <c r="F69" s="110">
        <f t="shared" si="38"/>
        <v>0</v>
      </c>
      <c r="G69" s="110">
        <f t="shared" si="38"/>
        <v>0</v>
      </c>
      <c r="H69" s="110">
        <f t="shared" si="38"/>
        <v>0</v>
      </c>
      <c r="I69" s="110">
        <f t="shared" si="38"/>
        <v>0</v>
      </c>
      <c r="J69" s="110">
        <f t="shared" si="38"/>
        <v>0</v>
      </c>
      <c r="K69" s="110">
        <f t="shared" si="38"/>
        <v>0</v>
      </c>
      <c r="L69" s="110">
        <f t="shared" si="38"/>
        <v>0</v>
      </c>
      <c r="M69" s="110">
        <f t="shared" si="38"/>
        <v>0</v>
      </c>
      <c r="N69" s="110">
        <f t="shared" si="38"/>
        <v>0</v>
      </c>
      <c r="O69" s="110">
        <f t="shared" si="38"/>
        <v>0</v>
      </c>
      <c r="P69" s="111">
        <f t="shared" si="12"/>
        <v>0</v>
      </c>
      <c r="Q69" s="92"/>
      <c r="R69" s="92"/>
      <c r="S69" s="92"/>
      <c r="T69" s="92"/>
      <c r="U69" s="92"/>
      <c r="V69" s="92"/>
    </row>
    <row r="70" spans="1:22">
      <c r="A70" s="23">
        <f t="shared" si="14"/>
        <v>70</v>
      </c>
      <c r="B70" s="163" t="s">
        <v>204</v>
      </c>
      <c r="C70" s="228"/>
      <c r="D70" s="110">
        <f t="shared" ref="D70:O70" si="39">ROUND(D49*17.3%/3,2)*OR((D6="L"),(LEFT(D19)="J"))</f>
        <v>0</v>
      </c>
      <c r="E70" s="110">
        <f t="shared" si="39"/>
        <v>0</v>
      </c>
      <c r="F70" s="110">
        <f t="shared" si="39"/>
        <v>0</v>
      </c>
      <c r="G70" s="110">
        <f t="shared" si="39"/>
        <v>0</v>
      </c>
      <c r="H70" s="110">
        <f t="shared" si="39"/>
        <v>0</v>
      </c>
      <c r="I70" s="110">
        <f t="shared" si="39"/>
        <v>0</v>
      </c>
      <c r="J70" s="110">
        <f t="shared" si="39"/>
        <v>0</v>
      </c>
      <c r="K70" s="110">
        <f t="shared" si="39"/>
        <v>0</v>
      </c>
      <c r="L70" s="110">
        <f t="shared" si="39"/>
        <v>0</v>
      </c>
      <c r="M70" s="110">
        <f t="shared" si="39"/>
        <v>0</v>
      </c>
      <c r="N70" s="110">
        <f t="shared" si="39"/>
        <v>0</v>
      </c>
      <c r="O70" s="110">
        <f t="shared" si="39"/>
        <v>0</v>
      </c>
      <c r="P70" s="111">
        <f t="shared" si="12"/>
        <v>0</v>
      </c>
      <c r="Q70" s="92"/>
      <c r="R70" s="92"/>
      <c r="S70" s="92"/>
      <c r="T70" s="92"/>
      <c r="U70" s="92"/>
      <c r="V70" s="92"/>
    </row>
    <row r="71" spans="1:22">
      <c r="A71" s="23">
        <f t="shared" si="14"/>
        <v>71</v>
      </c>
      <c r="B71" s="163" t="s">
        <v>64</v>
      </c>
      <c r="C71" s="228"/>
      <c r="D71" s="110">
        <f t="shared" ref="D71:O71" si="40">ROUND(D50*17.3%/3,2)*OR((D6="L"),(LEFT(D19)="J"))</f>
        <v>0</v>
      </c>
      <c r="E71" s="110">
        <f t="shared" si="40"/>
        <v>0</v>
      </c>
      <c r="F71" s="110">
        <f t="shared" si="40"/>
        <v>0</v>
      </c>
      <c r="G71" s="110">
        <f t="shared" si="40"/>
        <v>0</v>
      </c>
      <c r="H71" s="110">
        <f t="shared" si="40"/>
        <v>0</v>
      </c>
      <c r="I71" s="110">
        <f t="shared" si="40"/>
        <v>0</v>
      </c>
      <c r="J71" s="110">
        <f t="shared" si="40"/>
        <v>0</v>
      </c>
      <c r="K71" s="110">
        <f t="shared" si="40"/>
        <v>0</v>
      </c>
      <c r="L71" s="110">
        <f t="shared" si="40"/>
        <v>0</v>
      </c>
      <c r="M71" s="110">
        <f t="shared" si="40"/>
        <v>0</v>
      </c>
      <c r="N71" s="110">
        <f t="shared" si="40"/>
        <v>0</v>
      </c>
      <c r="O71" s="110">
        <f t="shared" si="40"/>
        <v>0</v>
      </c>
      <c r="P71" s="111">
        <f t="shared" si="12"/>
        <v>0</v>
      </c>
      <c r="Q71" s="92"/>
      <c r="R71" s="92"/>
      <c r="S71" s="92"/>
      <c r="T71" s="92"/>
      <c r="U71" s="92"/>
      <c r="V71" s="92"/>
    </row>
    <row r="72" spans="1:22">
      <c r="A72" s="23">
        <f t="shared" si="14"/>
        <v>72</v>
      </c>
      <c r="B72" s="163" t="s">
        <v>65</v>
      </c>
      <c r="C72" s="228"/>
      <c r="D72" s="110">
        <f t="shared" ref="D72:O72" si="41">ROUND(D51*17.3%/3,2)*OR((D6="L"),(LEFT(D19)="J"))</f>
        <v>0</v>
      </c>
      <c r="E72" s="110">
        <f t="shared" si="41"/>
        <v>0</v>
      </c>
      <c r="F72" s="110">
        <f t="shared" si="41"/>
        <v>0</v>
      </c>
      <c r="G72" s="110">
        <f t="shared" si="41"/>
        <v>0</v>
      </c>
      <c r="H72" s="110">
        <f t="shared" si="41"/>
        <v>0</v>
      </c>
      <c r="I72" s="110">
        <f t="shared" si="41"/>
        <v>0</v>
      </c>
      <c r="J72" s="110">
        <f t="shared" si="41"/>
        <v>0</v>
      </c>
      <c r="K72" s="110">
        <f t="shared" si="41"/>
        <v>0</v>
      </c>
      <c r="L72" s="110">
        <f t="shared" si="41"/>
        <v>0</v>
      </c>
      <c r="M72" s="110">
        <f t="shared" si="41"/>
        <v>0</v>
      </c>
      <c r="N72" s="110">
        <f t="shared" si="41"/>
        <v>0</v>
      </c>
      <c r="O72" s="110">
        <f t="shared" si="41"/>
        <v>0</v>
      </c>
      <c r="P72" s="111">
        <f t="shared" si="12"/>
        <v>0</v>
      </c>
      <c r="Q72" s="92"/>
      <c r="R72" s="92"/>
      <c r="S72" s="92"/>
      <c r="T72" s="92"/>
      <c r="U72" s="92"/>
      <c r="V72" s="92"/>
    </row>
    <row r="73" spans="1:22">
      <c r="A73" s="23">
        <f t="shared" si="14"/>
        <v>73</v>
      </c>
      <c r="B73" s="163" t="s">
        <v>66</v>
      </c>
      <c r="C73" s="228"/>
      <c r="D73" s="110">
        <f t="shared" ref="D73:O73" si="42">ROUND(D52*17.3%/3,2)*OR((D6="L"),(LEFT(D19)="J"))</f>
        <v>56.56</v>
      </c>
      <c r="E73" s="110">
        <f t="shared" si="42"/>
        <v>56.56</v>
      </c>
      <c r="F73" s="110">
        <f t="shared" si="42"/>
        <v>56.56</v>
      </c>
      <c r="G73" s="110">
        <f t="shared" si="42"/>
        <v>56.56</v>
      </c>
      <c r="H73" s="110">
        <f t="shared" si="42"/>
        <v>56.56</v>
      </c>
      <c r="I73" s="110">
        <f t="shared" si="42"/>
        <v>56.56</v>
      </c>
      <c r="J73" s="110">
        <f t="shared" si="42"/>
        <v>56.56</v>
      </c>
      <c r="K73" s="110">
        <f t="shared" si="42"/>
        <v>56.56</v>
      </c>
      <c r="L73" s="110">
        <f t="shared" si="42"/>
        <v>7.69</v>
      </c>
      <c r="M73" s="110">
        <f t="shared" si="42"/>
        <v>57.7</v>
      </c>
      <c r="N73" s="110">
        <f t="shared" si="42"/>
        <v>57.7</v>
      </c>
      <c r="O73" s="110">
        <f t="shared" si="42"/>
        <v>57.7</v>
      </c>
      <c r="P73" s="111">
        <f t="shared" si="12"/>
        <v>633.2700000000001</v>
      </c>
      <c r="Q73" s="92"/>
      <c r="R73" s="92"/>
      <c r="S73" s="92"/>
      <c r="T73" s="92"/>
      <c r="U73" s="92"/>
      <c r="V73" s="92"/>
    </row>
    <row r="74" spans="1:22">
      <c r="A74" s="23">
        <f t="shared" si="14"/>
        <v>74</v>
      </c>
      <c r="B74" s="163" t="s">
        <v>67</v>
      </c>
      <c r="C74" s="228"/>
      <c r="D74" s="110">
        <f t="shared" ref="D74:O75" si="43">ROUND(D53*17.3%/3,2)*OR((D6="L"),(LEFT(D19)="J"))</f>
        <v>0</v>
      </c>
      <c r="E74" s="110">
        <f t="shared" si="43"/>
        <v>0</v>
      </c>
      <c r="F74" s="110">
        <f t="shared" si="43"/>
        <v>0</v>
      </c>
      <c r="G74" s="110">
        <f t="shared" si="43"/>
        <v>0</v>
      </c>
      <c r="H74" s="110">
        <f t="shared" si="43"/>
        <v>0</v>
      </c>
      <c r="I74" s="110">
        <f t="shared" si="43"/>
        <v>0</v>
      </c>
      <c r="J74" s="110">
        <f t="shared" si="43"/>
        <v>0</v>
      </c>
      <c r="K74" s="110">
        <f t="shared" si="43"/>
        <v>0</v>
      </c>
      <c r="L74" s="110">
        <f t="shared" si="43"/>
        <v>0</v>
      </c>
      <c r="M74" s="110">
        <f t="shared" si="43"/>
        <v>0</v>
      </c>
      <c r="N74" s="110">
        <f t="shared" si="43"/>
        <v>0</v>
      </c>
      <c r="O74" s="110">
        <f t="shared" si="43"/>
        <v>0</v>
      </c>
      <c r="P74" s="111">
        <f t="shared" si="12"/>
        <v>0</v>
      </c>
      <c r="Q74" s="92"/>
      <c r="R74" s="92"/>
      <c r="S74" s="92"/>
      <c r="T74" s="92"/>
      <c r="U74" s="92"/>
      <c r="V74" s="92"/>
    </row>
    <row r="75" spans="1:22">
      <c r="A75" s="23">
        <f t="shared" si="14"/>
        <v>75</v>
      </c>
      <c r="B75" s="163" t="s">
        <v>20</v>
      </c>
      <c r="C75" s="228"/>
      <c r="D75" s="110">
        <f t="shared" si="43"/>
        <v>0</v>
      </c>
      <c r="E75" s="110">
        <f t="shared" si="43"/>
        <v>0</v>
      </c>
      <c r="F75" s="110">
        <f t="shared" si="43"/>
        <v>0</v>
      </c>
      <c r="G75" s="110">
        <f t="shared" si="43"/>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1">
        <f>SUM(D75:O75)</f>
        <v>0</v>
      </c>
      <c r="Q75" s="92"/>
      <c r="R75" s="92"/>
      <c r="S75" s="92"/>
      <c r="T75" s="92"/>
      <c r="U75" s="92"/>
      <c r="V75" s="92"/>
    </row>
    <row r="76" spans="1:22">
      <c r="A76" s="23">
        <f t="shared" si="14"/>
        <v>76</v>
      </c>
      <c r="B76" s="163" t="s">
        <v>68</v>
      </c>
      <c r="C76" s="228"/>
      <c r="D76" s="110">
        <f t="shared" ref="D76:O76" si="44">ROUND(D55*17.3%/3,2)*(D6="L")</f>
        <v>0</v>
      </c>
      <c r="E76" s="110">
        <f t="shared" si="44"/>
        <v>0</v>
      </c>
      <c r="F76" s="110">
        <f t="shared" si="44"/>
        <v>0</v>
      </c>
      <c r="G76" s="110">
        <f t="shared" si="44"/>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1">
        <f t="shared" si="12"/>
        <v>0</v>
      </c>
      <c r="Q76" s="92"/>
      <c r="R76" s="92"/>
      <c r="S76" s="92"/>
      <c r="T76" s="92"/>
      <c r="U76" s="92"/>
      <c r="V76" s="92"/>
    </row>
    <row r="77" spans="1:22">
      <c r="A77" s="23">
        <f t="shared" si="14"/>
        <v>77</v>
      </c>
      <c r="B77" s="163" t="s">
        <v>69</v>
      </c>
      <c r="C77" s="228"/>
      <c r="D77" s="110">
        <f t="shared" ref="D77:O77" si="45">ROUND(D57*17.3%/3,2)*(D6="L")</f>
        <v>0</v>
      </c>
      <c r="E77" s="110">
        <f t="shared" si="45"/>
        <v>0</v>
      </c>
      <c r="F77" s="110">
        <f t="shared" si="45"/>
        <v>0</v>
      </c>
      <c r="G77" s="110">
        <f t="shared" si="45"/>
        <v>0</v>
      </c>
      <c r="H77" s="110">
        <f t="shared" si="45"/>
        <v>0</v>
      </c>
      <c r="I77" s="110">
        <f t="shared" si="45"/>
        <v>0</v>
      </c>
      <c r="J77" s="110">
        <f t="shared" si="45"/>
        <v>0</v>
      </c>
      <c r="K77" s="110">
        <f t="shared" si="45"/>
        <v>0</v>
      </c>
      <c r="L77" s="110">
        <f t="shared" si="45"/>
        <v>0</v>
      </c>
      <c r="M77" s="110">
        <f t="shared" si="45"/>
        <v>0</v>
      </c>
      <c r="N77" s="110">
        <f t="shared" si="45"/>
        <v>0</v>
      </c>
      <c r="O77" s="110">
        <f t="shared" si="45"/>
        <v>0</v>
      </c>
      <c r="P77" s="111">
        <f t="shared" si="12"/>
        <v>0</v>
      </c>
      <c r="Q77" s="92"/>
      <c r="R77" s="92"/>
      <c r="S77" s="92"/>
      <c r="T77" s="92"/>
      <c r="U77" s="92"/>
      <c r="V77" s="92"/>
    </row>
    <row r="78" spans="1:22">
      <c r="A78" s="23">
        <f t="shared" si="14"/>
        <v>78</v>
      </c>
      <c r="B78" s="163" t="s">
        <v>119</v>
      </c>
      <c r="C78" s="228"/>
      <c r="D78" s="110">
        <f t="shared" ref="D78:K78" si="46">((SUM(D44:D60)-301881.8*D7*D9/12)*0.7%/3*((D65-D61)&gt;301881.8/12*D7*D9)*(LEFT(D4)="B")+(SUM(D44:D60)-361659.2*D7*D9/12)*0.7%/3*(SUM(D44:D60)&gt;361659.2/12*D7*D9)*(LEFT(D4)="L"))*(LEFT(D6)&lt;&gt;"L")*(LEFT(D19)="J")</f>
        <v>0</v>
      </c>
      <c r="E78" s="110">
        <f t="shared" si="46"/>
        <v>0</v>
      </c>
      <c r="F78" s="110">
        <f t="shared" si="46"/>
        <v>0</v>
      </c>
      <c r="G78" s="110">
        <f t="shared" si="46"/>
        <v>0</v>
      </c>
      <c r="H78" s="110">
        <f t="shared" si="46"/>
        <v>0</v>
      </c>
      <c r="I78" s="110">
        <f t="shared" si="46"/>
        <v>0</v>
      </c>
      <c r="J78" s="110">
        <f t="shared" si="46"/>
        <v>0</v>
      </c>
      <c r="K78" s="110">
        <f t="shared" si="46"/>
        <v>0</v>
      </c>
      <c r="L78" s="110">
        <f>((SUM(L44:L60)-301881.8*L7*L9/12)*0.7%/3*((L65-L61)&gt;301881.8/12*L7*L9)*(LEFT(L4)="B")+(SUM(L44:L60)-361659.2*L7*L9/12)*0.7%/3*(SUM(L44:L60)&gt;361659.2/12*L7*L9)*(LEFT(L4)="L"))*(LEFT(L6)&lt;&gt;"L")*(LEFT(L19)="J")</f>
        <v>0</v>
      </c>
      <c r="M78" s="110">
        <f>((SUM(M44:M60)-301881.8*M7*M9/12)*0.7%/3*((M65-M61)&gt;301881.8/12*M7*M9)*(LEFT(M4)="B")+(SUM(M44:M60)-361659.2*M7*M9/12)*0.7%/3*(SUM(M44:M60)&gt;361659.2/12*M7*M9)*(LEFT(M4)="L"))*(LEFT(M6)&lt;&gt;"L")*(LEFT(M19)="J")</f>
        <v>0</v>
      </c>
      <c r="N78" s="110">
        <f>((SUM(N44:N60)-301881.8*N7*N9/12)*0.7%/3*((N65-N61)&gt;301881.8/12*N7*N9)*(LEFT(N4)="B")+(SUM(N44:N60)-361659.2*N7*N9/12)*0.7%/3*(SUM(N44:N60)&gt;361659.2/12*N7*N9)*(LEFT(N4)="L"))*(LEFT(N6)&lt;&gt;"L")*(LEFT(N19)="J")</f>
        <v>0</v>
      </c>
      <c r="O78" s="110">
        <f>((SUM(O44:O60)-301881.8*O7*O9/12)*0.7%/3*((O65-O61)&gt;301881.8/12*O7*O9)*(LEFT(O4)="B")+(SUM(O44:O60)-361659.2*O7*O9/12)*0.7%/3*(SUM(O44:O60)&gt;361659.2/12*O7*O9)*(LEFT(O4)="L"))*(LEFT(O6)&lt;&gt;"L")*(LEFT(O19)="J")</f>
        <v>0</v>
      </c>
      <c r="P78" s="111">
        <f t="shared" si="12"/>
        <v>0</v>
      </c>
      <c r="Q78" s="92"/>
      <c r="R78" s="92"/>
      <c r="S78" s="92"/>
      <c r="T78" s="92"/>
      <c r="U78" s="92"/>
      <c r="V78" s="92"/>
    </row>
    <row r="79" spans="1:22">
      <c r="A79" s="23">
        <f t="shared" si="14"/>
        <v>79</v>
      </c>
      <c r="B79" s="163" t="s">
        <v>263</v>
      </c>
      <c r="C79" s="228"/>
      <c r="D79" s="216">
        <f t="shared" ref="D79:O79" si="47">ROUND(-(D22+D25)*4.62%*SUM(D66:D78),2)</f>
        <v>0</v>
      </c>
      <c r="E79" s="216">
        <f t="shared" si="47"/>
        <v>0</v>
      </c>
      <c r="F79" s="216">
        <f t="shared" si="47"/>
        <v>0</v>
      </c>
      <c r="G79" s="216">
        <f t="shared" si="47"/>
        <v>0</v>
      </c>
      <c r="H79" s="216">
        <f t="shared" si="47"/>
        <v>0</v>
      </c>
      <c r="I79" s="216">
        <f t="shared" si="47"/>
        <v>0</v>
      </c>
      <c r="J79" s="216">
        <f t="shared" si="47"/>
        <v>0</v>
      </c>
      <c r="K79" s="216">
        <f t="shared" si="47"/>
        <v>0</v>
      </c>
      <c r="L79" s="216">
        <f t="shared" si="47"/>
        <v>0</v>
      </c>
      <c r="M79" s="216">
        <f t="shared" si="47"/>
        <v>0</v>
      </c>
      <c r="N79" s="216">
        <f t="shared" si="47"/>
        <v>0</v>
      </c>
      <c r="O79" s="216">
        <f t="shared" si="47"/>
        <v>0</v>
      </c>
      <c r="P79" s="111">
        <f t="shared" si="12"/>
        <v>0</v>
      </c>
      <c r="Q79" s="92"/>
      <c r="R79" s="92"/>
      <c r="S79" s="92"/>
      <c r="T79" s="92"/>
      <c r="U79" s="92"/>
      <c r="V79" s="92"/>
    </row>
    <row r="80" spans="1:22">
      <c r="A80" s="23">
        <f t="shared" si="14"/>
        <v>80</v>
      </c>
      <c r="B80" s="164" t="s">
        <v>43</v>
      </c>
      <c r="C80" s="228"/>
      <c r="D80" s="219">
        <f t="shared" ref="D80:L80" si="48">IF(OR(D62=0,D9=0),0,(D66+D73+D74+D76+D77)/D9*4.62%*(D23-D9)*(D21-D22))</f>
        <v>-26.110172237837844</v>
      </c>
      <c r="E80" s="219">
        <f t="shared" si="48"/>
        <v>0</v>
      </c>
      <c r="F80" s="219">
        <f t="shared" si="48"/>
        <v>0</v>
      </c>
      <c r="G80" s="219">
        <f t="shared" si="48"/>
        <v>0</v>
      </c>
      <c r="H80" s="219">
        <f t="shared" si="48"/>
        <v>0</v>
      </c>
      <c r="I80" s="219">
        <f t="shared" si="48"/>
        <v>0</v>
      </c>
      <c r="J80" s="219">
        <f t="shared" si="48"/>
        <v>0</v>
      </c>
      <c r="K80" s="219">
        <f t="shared" si="48"/>
        <v>0</v>
      </c>
      <c r="L80" s="219">
        <f t="shared" si="48"/>
        <v>0</v>
      </c>
      <c r="M80" s="219">
        <f>IF(OR(M62=0,M9=0),0,(M66+M73+M74+M76+M77)/M9*4.62%*(M24-M9)*(M21-M22))</f>
        <v>-3.1077024668918959E-7</v>
      </c>
      <c r="N80" s="219">
        <f>IF(OR(N62=0,N9=0),0,(N66+N73+N74+N76+N77)/N9*4.62%*(N24-N9)*(N21-N22))</f>
        <v>0</v>
      </c>
      <c r="O80" s="219">
        <f>IF(OR(O62=0,O9=0),0,(O66+O73+O74+O76+O77)/O9*4.62%*(O24-O9)*(O21-O22))</f>
        <v>-62.154049337837918</v>
      </c>
      <c r="P80" s="131">
        <f t="shared" si="12"/>
        <v>-88.264221886446009</v>
      </c>
      <c r="Q80" s="92"/>
      <c r="R80" s="92"/>
      <c r="S80" s="92"/>
      <c r="T80" s="92"/>
      <c r="U80" s="92"/>
      <c r="V80" s="92"/>
    </row>
    <row r="81" spans="1:22" ht="13" thickBot="1">
      <c r="A81" s="158">
        <f t="shared" si="14"/>
        <v>81</v>
      </c>
      <c r="B81" s="159" t="s">
        <v>194</v>
      </c>
      <c r="C81" s="229"/>
      <c r="D81" s="220">
        <f>SUM(D66:D80)</f>
        <v>1110.0498277621621</v>
      </c>
      <c r="E81" s="160">
        <f t="shared" ref="E81:O81" si="49">SUM(E66:E80)</f>
        <v>1136.1599999999999</v>
      </c>
      <c r="F81" s="160">
        <f t="shared" si="49"/>
        <v>1136.1599999999999</v>
      </c>
      <c r="G81" s="160">
        <f t="shared" si="49"/>
        <v>1136.1599999999999</v>
      </c>
      <c r="H81" s="160">
        <f t="shared" si="49"/>
        <v>1136.1599999999999</v>
      </c>
      <c r="I81" s="160">
        <f t="shared" si="49"/>
        <v>1136.1599999999999</v>
      </c>
      <c r="J81" s="160">
        <f t="shared" si="49"/>
        <v>1136.1599999999999</v>
      </c>
      <c r="K81" s="160">
        <f t="shared" si="49"/>
        <v>1136.1599999999999</v>
      </c>
      <c r="L81" s="160">
        <f t="shared" si="49"/>
        <v>154.54</v>
      </c>
      <c r="M81" s="160">
        <f t="shared" si="49"/>
        <v>1159.1099996892299</v>
      </c>
      <c r="N81" s="160">
        <f t="shared" si="49"/>
        <v>1159.1100000000001</v>
      </c>
      <c r="O81" s="160">
        <f t="shared" si="49"/>
        <v>1096.9559506621622</v>
      </c>
      <c r="P81" s="161">
        <f t="shared" si="12"/>
        <v>12632.885778113556</v>
      </c>
      <c r="Q81" s="92"/>
      <c r="R81" s="92"/>
      <c r="S81" s="92"/>
      <c r="T81" s="92"/>
      <c r="U81" s="92"/>
      <c r="V81" s="92"/>
    </row>
    <row r="82" spans="1:22" ht="13" thickTop="1">
      <c r="A82" s="23">
        <f>A81+1</f>
        <v>82</v>
      </c>
      <c r="B82" s="190" t="s">
        <v>105</v>
      </c>
      <c r="C82" s="230"/>
      <c r="D82" s="221">
        <f>D94/3</f>
        <v>90</v>
      </c>
      <c r="E82" s="113">
        <f t="shared" ref="E82:O82" si="50">E94/3</f>
        <v>90</v>
      </c>
      <c r="F82" s="113">
        <f t="shared" si="50"/>
        <v>90</v>
      </c>
      <c r="G82" s="113">
        <f t="shared" si="50"/>
        <v>90</v>
      </c>
      <c r="H82" s="113">
        <f t="shared" si="50"/>
        <v>90</v>
      </c>
      <c r="I82" s="113">
        <f t="shared" si="50"/>
        <v>90</v>
      </c>
      <c r="J82" s="113">
        <f t="shared" si="50"/>
        <v>90</v>
      </c>
      <c r="K82" s="113">
        <f t="shared" si="50"/>
        <v>90</v>
      </c>
      <c r="L82" s="113">
        <f t="shared" si="50"/>
        <v>0</v>
      </c>
      <c r="M82" s="113">
        <f t="shared" si="50"/>
        <v>90</v>
      </c>
      <c r="N82" s="113">
        <f t="shared" si="50"/>
        <v>90</v>
      </c>
      <c r="O82" s="113">
        <f t="shared" si="50"/>
        <v>90</v>
      </c>
      <c r="P82" s="109">
        <f>SUM(D82:O82)</f>
        <v>990</v>
      </c>
      <c r="Q82" s="92"/>
      <c r="R82" s="92"/>
      <c r="S82" s="92"/>
      <c r="T82" s="92"/>
      <c r="U82" s="92"/>
      <c r="V82" s="92"/>
    </row>
    <row r="83" spans="1:22">
      <c r="A83" s="23">
        <f>A82+1</f>
        <v>83</v>
      </c>
      <c r="B83" s="190" t="s">
        <v>100</v>
      </c>
      <c r="C83" s="230"/>
      <c r="D83" s="221">
        <f t="shared" ref="D83:O83" si="51">SUM(D44:D63)-D82</f>
        <v>20043.395065005407</v>
      </c>
      <c r="E83" s="113">
        <f t="shared" si="51"/>
        <v>20514.18</v>
      </c>
      <c r="F83" s="113">
        <f t="shared" si="51"/>
        <v>20514.18</v>
      </c>
      <c r="G83" s="113">
        <f t="shared" si="51"/>
        <v>20514.18</v>
      </c>
      <c r="H83" s="113">
        <f t="shared" si="51"/>
        <v>20514.18</v>
      </c>
      <c r="I83" s="113">
        <f t="shared" si="51"/>
        <v>20514.18</v>
      </c>
      <c r="J83" s="113">
        <f t="shared" si="51"/>
        <v>20514.18</v>
      </c>
      <c r="K83" s="113">
        <f t="shared" si="51"/>
        <v>20514.18</v>
      </c>
      <c r="L83" s="113">
        <f t="shared" si="51"/>
        <v>2801.7866666666673</v>
      </c>
      <c r="M83" s="113">
        <f t="shared" si="51"/>
        <v>24300.169897316046</v>
      </c>
      <c r="N83" s="113">
        <f t="shared" si="51"/>
        <v>20923.399999999998</v>
      </c>
      <c r="O83" s="113">
        <f t="shared" si="51"/>
        <v>19802.991463975672</v>
      </c>
      <c r="P83" s="109">
        <f t="shared" ref="P83:P99" si="52">SUM(D83:O83)</f>
        <v>231471.00309296377</v>
      </c>
      <c r="Q83" s="92"/>
      <c r="R83" s="92"/>
      <c r="S83" s="92"/>
      <c r="T83" s="92"/>
      <c r="U83" s="92"/>
      <c r="V83" s="92"/>
    </row>
    <row r="84" spans="1:22">
      <c r="A84" s="23">
        <f t="shared" ref="A84:A100" si="53">A83+1</f>
        <v>84</v>
      </c>
      <c r="B84" s="191" t="s">
        <v>101</v>
      </c>
      <c r="C84" s="230"/>
      <c r="D84" s="222">
        <f>ROUND(D83*8%,0)</f>
        <v>1603</v>
      </c>
      <c r="E84" s="114">
        <f t="shared" ref="E84:O84" si="54">ROUND(E83*8%,0)</f>
        <v>1641</v>
      </c>
      <c r="F84" s="114">
        <f t="shared" si="54"/>
        <v>1641</v>
      </c>
      <c r="G84" s="114">
        <f t="shared" si="54"/>
        <v>1641</v>
      </c>
      <c r="H84" s="114">
        <f t="shared" si="54"/>
        <v>1641</v>
      </c>
      <c r="I84" s="114">
        <f t="shared" si="54"/>
        <v>1641</v>
      </c>
      <c r="J84" s="114">
        <f t="shared" si="54"/>
        <v>1641</v>
      </c>
      <c r="K84" s="114">
        <f t="shared" si="54"/>
        <v>1641</v>
      </c>
      <c r="L84" s="114">
        <f t="shared" si="54"/>
        <v>224</v>
      </c>
      <c r="M84" s="114">
        <f t="shared" si="54"/>
        <v>1944</v>
      </c>
      <c r="N84" s="114">
        <f t="shared" si="54"/>
        <v>1674</v>
      </c>
      <c r="O84" s="114">
        <f t="shared" si="54"/>
        <v>1584</v>
      </c>
      <c r="P84" s="111">
        <f t="shared" si="52"/>
        <v>18516</v>
      </c>
      <c r="Q84" s="92"/>
      <c r="R84" s="92"/>
      <c r="S84" s="92"/>
      <c r="T84" s="92"/>
      <c r="U84" s="92"/>
      <c r="V84" s="92"/>
    </row>
    <row r="85" spans="1:22">
      <c r="A85" s="23">
        <f t="shared" si="53"/>
        <v>85</v>
      </c>
      <c r="B85" s="191" t="s">
        <v>102</v>
      </c>
      <c r="C85" s="230"/>
      <c r="D85" s="222">
        <f>D83-D84</f>
        <v>18440.395065005407</v>
      </c>
      <c r="E85" s="114">
        <f t="shared" ref="E85:O85" si="55">E83-E84</f>
        <v>18873.18</v>
      </c>
      <c r="F85" s="114">
        <f t="shared" si="55"/>
        <v>18873.18</v>
      </c>
      <c r="G85" s="114">
        <f t="shared" si="55"/>
        <v>18873.18</v>
      </c>
      <c r="H85" s="114">
        <f t="shared" si="55"/>
        <v>18873.18</v>
      </c>
      <c r="I85" s="114">
        <f t="shared" si="55"/>
        <v>18873.18</v>
      </c>
      <c r="J85" s="114">
        <f t="shared" si="55"/>
        <v>18873.18</v>
      </c>
      <c r="K85" s="114">
        <f t="shared" si="55"/>
        <v>18873.18</v>
      </c>
      <c r="L85" s="114">
        <f t="shared" si="55"/>
        <v>2577.7866666666673</v>
      </c>
      <c r="M85" s="114">
        <f t="shared" si="55"/>
        <v>22356.169897316046</v>
      </c>
      <c r="N85" s="114">
        <f t="shared" si="55"/>
        <v>19249.399999999998</v>
      </c>
      <c r="O85" s="114">
        <f t="shared" si="55"/>
        <v>18218.991463975672</v>
      </c>
      <c r="P85" s="111">
        <f t="shared" si="52"/>
        <v>212955.00309296377</v>
      </c>
      <c r="Q85" s="92"/>
      <c r="R85" s="92"/>
      <c r="S85" s="92"/>
      <c r="T85" s="92"/>
      <c r="U85" s="92"/>
      <c r="V85" s="92"/>
    </row>
    <row r="86" spans="1:22">
      <c r="A86" s="23">
        <f t="shared" si="53"/>
        <v>86</v>
      </c>
      <c r="B86" s="191" t="s">
        <v>115</v>
      </c>
      <c r="C86" s="230"/>
      <c r="D86" s="222">
        <f t="shared" ref="D86:O86" si="56">ROUND(D85-D27,-1)</f>
        <v>13320</v>
      </c>
      <c r="E86" s="114">
        <f t="shared" si="56"/>
        <v>13750</v>
      </c>
      <c r="F86" s="114">
        <f t="shared" si="56"/>
        <v>13750</v>
      </c>
      <c r="G86" s="114">
        <f t="shared" si="56"/>
        <v>13750</v>
      </c>
      <c r="H86" s="114">
        <f t="shared" si="56"/>
        <v>13750</v>
      </c>
      <c r="I86" s="114">
        <f t="shared" si="56"/>
        <v>13370</v>
      </c>
      <c r="J86" s="114">
        <f t="shared" si="56"/>
        <v>13370</v>
      </c>
      <c r="K86" s="114">
        <f t="shared" si="56"/>
        <v>13370</v>
      </c>
      <c r="L86" s="114">
        <f t="shared" si="56"/>
        <v>2580</v>
      </c>
      <c r="M86" s="114">
        <f t="shared" si="56"/>
        <v>16860</v>
      </c>
      <c r="N86" s="114">
        <f t="shared" si="56"/>
        <v>13750</v>
      </c>
      <c r="O86" s="114">
        <f t="shared" si="56"/>
        <v>12720</v>
      </c>
      <c r="P86" s="111"/>
      <c r="Q86" s="92"/>
      <c r="R86" s="92"/>
      <c r="S86" s="92"/>
      <c r="T86" s="92"/>
      <c r="U86" s="92"/>
      <c r="V86" s="92"/>
    </row>
    <row r="87" spans="1:22">
      <c r="A87" s="23">
        <f t="shared" si="53"/>
        <v>87</v>
      </c>
      <c r="B87" s="191" t="s">
        <v>103</v>
      </c>
      <c r="C87" s="230"/>
      <c r="D87" s="222">
        <f t="shared" ref="D87:O87" si="57">ROUND(D86*D26/100,0)</f>
        <v>5461</v>
      </c>
      <c r="E87" s="114">
        <f t="shared" si="57"/>
        <v>5638</v>
      </c>
      <c r="F87" s="114">
        <f t="shared" si="57"/>
        <v>5638</v>
      </c>
      <c r="G87" s="114">
        <f t="shared" si="57"/>
        <v>5638</v>
      </c>
      <c r="H87" s="114">
        <f t="shared" si="57"/>
        <v>5638</v>
      </c>
      <c r="I87" s="114">
        <f t="shared" si="57"/>
        <v>5348</v>
      </c>
      <c r="J87" s="114">
        <f t="shared" si="57"/>
        <v>5348</v>
      </c>
      <c r="K87" s="114">
        <f t="shared" si="57"/>
        <v>5348</v>
      </c>
      <c r="L87" s="114">
        <f t="shared" si="57"/>
        <v>1032</v>
      </c>
      <c r="M87" s="114">
        <f t="shared" si="57"/>
        <v>6744</v>
      </c>
      <c r="N87" s="114">
        <f t="shared" si="57"/>
        <v>5500</v>
      </c>
      <c r="O87" s="114">
        <f t="shared" si="57"/>
        <v>5088</v>
      </c>
      <c r="P87" s="111">
        <f t="shared" si="52"/>
        <v>62421</v>
      </c>
      <c r="Q87" s="92"/>
      <c r="R87" s="92"/>
      <c r="S87" s="92"/>
      <c r="T87" s="92"/>
      <c r="U87" s="92"/>
      <c r="V87" s="92"/>
    </row>
    <row r="88" spans="1:22">
      <c r="A88" s="23">
        <f t="shared" si="53"/>
        <v>88</v>
      </c>
      <c r="B88" s="191" t="s">
        <v>347</v>
      </c>
      <c r="C88" s="243">
        <f>Ex11_12!P89</f>
        <v>122567.94999999186</v>
      </c>
      <c r="D88" s="222">
        <f>SUM(D44:D63)</f>
        <v>20133.395065005407</v>
      </c>
      <c r="E88" s="114">
        <f>SUM(E44:E63)</f>
        <v>20604.18</v>
      </c>
      <c r="F88" s="114">
        <f>SUM(F44:F63)</f>
        <v>20604.18</v>
      </c>
      <c r="G88" s="114">
        <f>SUM(G44:G63)</f>
        <v>20604.18</v>
      </c>
      <c r="H88" s="114">
        <f>SUM(H44:H63)</f>
        <v>20604.18</v>
      </c>
      <c r="I88" s="143" t="s">
        <v>220</v>
      </c>
      <c r="J88" s="165"/>
      <c r="K88" s="165"/>
      <c r="L88" s="165"/>
      <c r="M88" s="165"/>
      <c r="N88" s="165"/>
      <c r="O88" s="165"/>
      <c r="P88" s="111">
        <f>SUM(C88:H88)</f>
        <v>225118.06506499724</v>
      </c>
      <c r="Q88" s="92"/>
      <c r="R88" s="92"/>
      <c r="S88" s="92"/>
      <c r="T88" s="92"/>
      <c r="U88" s="92"/>
      <c r="V88" s="92"/>
    </row>
    <row r="89" spans="1:22">
      <c r="A89" s="23">
        <f t="shared" si="53"/>
        <v>89</v>
      </c>
      <c r="B89" s="191" t="s">
        <v>348</v>
      </c>
      <c r="C89" s="233"/>
      <c r="D89" s="144" t="s">
        <v>220</v>
      </c>
      <c r="E89" s="165"/>
      <c r="F89" s="165"/>
      <c r="G89" s="165"/>
      <c r="H89" s="165"/>
      <c r="I89" s="114">
        <f>SUM(I44:I63)</f>
        <v>20604.18</v>
      </c>
      <c r="J89" s="114">
        <f>SUM(J44:J63)</f>
        <v>20604.18</v>
      </c>
      <c r="K89" s="114">
        <f>SUM(K44:K63)</f>
        <v>20604.18</v>
      </c>
      <c r="L89" s="114">
        <f>SUM(L44:L63)</f>
        <v>2801.7866666666673</v>
      </c>
      <c r="M89" s="114">
        <f>SUM(M44:M63)-M37</f>
        <v>21013.399897316045</v>
      </c>
      <c r="N89" s="114">
        <f>SUM(N44:N63)-N37</f>
        <v>21013.399999999998</v>
      </c>
      <c r="O89" s="114">
        <f>SUM(O44:O63)-O37</f>
        <v>19892.991463975672</v>
      </c>
      <c r="P89" s="111">
        <f t="shared" si="52"/>
        <v>126534.11802795838</v>
      </c>
      <c r="Q89" s="92"/>
      <c r="R89" s="92"/>
      <c r="S89" s="92"/>
      <c r="T89" s="92"/>
      <c r="U89" s="92"/>
      <c r="V89" s="92"/>
    </row>
    <row r="90" spans="1:22">
      <c r="A90" s="23">
        <f t="shared" si="53"/>
        <v>90</v>
      </c>
      <c r="B90" s="191" t="s">
        <v>193</v>
      </c>
      <c r="C90" s="230"/>
      <c r="D90" s="222">
        <f>D81</f>
        <v>1110.0498277621621</v>
      </c>
      <c r="E90" s="114">
        <f t="shared" ref="E90:O90" si="58">E81</f>
        <v>1136.1599999999999</v>
      </c>
      <c r="F90" s="114">
        <f t="shared" si="58"/>
        <v>1136.1599999999999</v>
      </c>
      <c r="G90" s="114">
        <f t="shared" si="58"/>
        <v>1136.1599999999999</v>
      </c>
      <c r="H90" s="114">
        <f t="shared" si="58"/>
        <v>1136.1599999999999</v>
      </c>
      <c r="I90" s="114">
        <f t="shared" si="58"/>
        <v>1136.1599999999999</v>
      </c>
      <c r="J90" s="114">
        <f t="shared" si="58"/>
        <v>1136.1599999999999</v>
      </c>
      <c r="K90" s="114">
        <f t="shared" si="58"/>
        <v>1136.1599999999999</v>
      </c>
      <c r="L90" s="114">
        <f t="shared" si="58"/>
        <v>154.54</v>
      </c>
      <c r="M90" s="114">
        <f t="shared" si="58"/>
        <v>1159.1099996892299</v>
      </c>
      <c r="N90" s="114">
        <f t="shared" si="58"/>
        <v>1159.1100000000001</v>
      </c>
      <c r="O90" s="114">
        <f t="shared" si="58"/>
        <v>1096.9559506621622</v>
      </c>
      <c r="P90" s="111">
        <f t="shared" si="52"/>
        <v>12632.885778113556</v>
      </c>
      <c r="Q90" s="92"/>
      <c r="R90" s="92"/>
      <c r="S90" s="92"/>
      <c r="T90" s="92"/>
      <c r="U90" s="92"/>
      <c r="V90" s="92"/>
    </row>
    <row r="91" spans="1:22">
      <c r="A91" s="23">
        <f t="shared" si="53"/>
        <v>91</v>
      </c>
      <c r="B91" s="191" t="s">
        <v>197</v>
      </c>
      <c r="C91" s="230"/>
      <c r="D91" s="222">
        <f>D90*2</f>
        <v>2220.0996555243241</v>
      </c>
      <c r="E91" s="114">
        <f t="shared" ref="E91:O91" si="59">E90*2</f>
        <v>2272.3199999999997</v>
      </c>
      <c r="F91" s="114">
        <f t="shared" si="59"/>
        <v>2272.3199999999997</v>
      </c>
      <c r="G91" s="114">
        <f t="shared" si="59"/>
        <v>2272.3199999999997</v>
      </c>
      <c r="H91" s="114">
        <f t="shared" si="59"/>
        <v>2272.3199999999997</v>
      </c>
      <c r="I91" s="114">
        <f t="shared" si="59"/>
        <v>2272.3199999999997</v>
      </c>
      <c r="J91" s="114">
        <f t="shared" si="59"/>
        <v>2272.3199999999997</v>
      </c>
      <c r="K91" s="114">
        <f t="shared" si="59"/>
        <v>2272.3199999999997</v>
      </c>
      <c r="L91" s="114">
        <f t="shared" si="59"/>
        <v>309.08</v>
      </c>
      <c r="M91" s="114">
        <f t="shared" si="59"/>
        <v>2318.2199993784598</v>
      </c>
      <c r="N91" s="114">
        <f t="shared" si="59"/>
        <v>2318.2200000000003</v>
      </c>
      <c r="O91" s="114">
        <f t="shared" si="59"/>
        <v>2193.9119013243244</v>
      </c>
      <c r="P91" s="111">
        <f t="shared" si="52"/>
        <v>25265.771556227111</v>
      </c>
      <c r="Q91" s="92"/>
      <c r="R91" s="92"/>
      <c r="S91" s="92"/>
      <c r="T91" s="92"/>
      <c r="U91" s="92"/>
      <c r="V91" s="92"/>
    </row>
    <row r="92" spans="1:22">
      <c r="A92" s="23">
        <f t="shared" si="53"/>
        <v>92</v>
      </c>
      <c r="B92" s="191" t="s">
        <v>46</v>
      </c>
      <c r="C92" s="230"/>
      <c r="D92" s="222">
        <f>D94*2/3</f>
        <v>180</v>
      </c>
      <c r="E92" s="114">
        <f t="shared" ref="E92:O92" si="60">E94*2/3</f>
        <v>180</v>
      </c>
      <c r="F92" s="114">
        <f t="shared" si="60"/>
        <v>180</v>
      </c>
      <c r="G92" s="114">
        <f t="shared" si="60"/>
        <v>180</v>
      </c>
      <c r="H92" s="114">
        <f t="shared" si="60"/>
        <v>180</v>
      </c>
      <c r="I92" s="114">
        <f t="shared" si="60"/>
        <v>180</v>
      </c>
      <c r="J92" s="114">
        <f t="shared" si="60"/>
        <v>180</v>
      </c>
      <c r="K92" s="114">
        <f t="shared" si="60"/>
        <v>180</v>
      </c>
      <c r="L92" s="114">
        <f t="shared" si="60"/>
        <v>0</v>
      </c>
      <c r="M92" s="114">
        <f t="shared" si="60"/>
        <v>180</v>
      </c>
      <c r="N92" s="114">
        <f t="shared" si="60"/>
        <v>180</v>
      </c>
      <c r="O92" s="114">
        <f t="shared" si="60"/>
        <v>180</v>
      </c>
      <c r="P92" s="111">
        <f t="shared" si="52"/>
        <v>1980</v>
      </c>
      <c r="Q92" s="92"/>
      <c r="R92" s="92"/>
      <c r="S92" s="92"/>
      <c r="T92" s="92"/>
      <c r="U92" s="92"/>
      <c r="V92" s="92"/>
    </row>
    <row r="93" spans="1:22">
      <c r="A93" s="23">
        <f t="shared" si="53"/>
        <v>93</v>
      </c>
      <c r="B93" s="191" t="s">
        <v>120</v>
      </c>
      <c r="C93" s="230"/>
      <c r="D93" s="222">
        <f>D90+D91</f>
        <v>3330.1494832864864</v>
      </c>
      <c r="E93" s="114">
        <f t="shared" ref="E93:O93" si="61">E90+E91</f>
        <v>3408.4799999999996</v>
      </c>
      <c r="F93" s="114">
        <f t="shared" si="61"/>
        <v>3408.4799999999996</v>
      </c>
      <c r="G93" s="114">
        <f t="shared" si="61"/>
        <v>3408.4799999999996</v>
      </c>
      <c r="H93" s="114">
        <f t="shared" si="61"/>
        <v>3408.4799999999996</v>
      </c>
      <c r="I93" s="114">
        <f t="shared" si="61"/>
        <v>3408.4799999999996</v>
      </c>
      <c r="J93" s="114">
        <f t="shared" si="61"/>
        <v>3408.4799999999996</v>
      </c>
      <c r="K93" s="114">
        <f t="shared" si="61"/>
        <v>3408.4799999999996</v>
      </c>
      <c r="L93" s="114">
        <f t="shared" si="61"/>
        <v>463.62</v>
      </c>
      <c r="M93" s="114">
        <f t="shared" si="61"/>
        <v>3477.3299990676896</v>
      </c>
      <c r="N93" s="114">
        <f t="shared" si="61"/>
        <v>3477.3300000000004</v>
      </c>
      <c r="O93" s="114">
        <f t="shared" si="61"/>
        <v>3290.8678519864866</v>
      </c>
      <c r="P93" s="111">
        <f t="shared" si="52"/>
        <v>37898.657334340656</v>
      </c>
      <c r="Q93" s="92"/>
      <c r="R93" s="92"/>
      <c r="S93" s="92"/>
      <c r="T93" s="92"/>
      <c r="U93" s="92"/>
      <c r="V93" s="92"/>
    </row>
    <row r="94" spans="1:22">
      <c r="A94" s="23">
        <f t="shared" si="53"/>
        <v>94</v>
      </c>
      <c r="B94" s="191" t="s">
        <v>121</v>
      </c>
      <c r="C94" s="230"/>
      <c r="D94" s="222">
        <f t="shared" ref="D94:O94" si="62">90*(((D9*D3)&gt;=9/37)+((D9*D3)&gt;=18/37)+((D9*D3)&gt;=27/37))</f>
        <v>270</v>
      </c>
      <c r="E94" s="222">
        <f t="shared" si="62"/>
        <v>270</v>
      </c>
      <c r="F94" s="222">
        <f t="shared" si="62"/>
        <v>270</v>
      </c>
      <c r="G94" s="222">
        <f t="shared" si="62"/>
        <v>270</v>
      </c>
      <c r="H94" s="222">
        <f t="shared" si="62"/>
        <v>270</v>
      </c>
      <c r="I94" s="114">
        <f t="shared" si="62"/>
        <v>270</v>
      </c>
      <c r="J94" s="114">
        <f t="shared" si="62"/>
        <v>270</v>
      </c>
      <c r="K94" s="114">
        <f t="shared" si="62"/>
        <v>270</v>
      </c>
      <c r="L94" s="114">
        <f t="shared" si="62"/>
        <v>0</v>
      </c>
      <c r="M94" s="114">
        <f t="shared" si="62"/>
        <v>270</v>
      </c>
      <c r="N94" s="114">
        <f t="shared" si="62"/>
        <v>270</v>
      </c>
      <c r="O94" s="114">
        <f t="shared" si="62"/>
        <v>270</v>
      </c>
      <c r="P94" s="111">
        <f t="shared" si="52"/>
        <v>2970</v>
      </c>
      <c r="Q94" s="92"/>
      <c r="R94" s="92"/>
      <c r="S94" s="92"/>
      <c r="T94" s="92"/>
      <c r="U94" s="92"/>
      <c r="V94" s="92"/>
    </row>
    <row r="95" spans="1:22">
      <c r="A95" s="23">
        <f t="shared" si="53"/>
        <v>95</v>
      </c>
      <c r="B95" s="191" t="s">
        <v>144</v>
      </c>
      <c r="C95" s="230"/>
      <c r="D95" s="222">
        <f t="shared" ref="D95:O95" si="63">IF(OR(LEFT(D6)="P",LEFT(D6)="E"),VLOOKUP(VALUE(MID(D6,2,2)),Skalalontabel12,7,0)*D9*D7/12*15%*MIN(1,D9)*D3,0)</f>
        <v>0</v>
      </c>
      <c r="E95" s="222">
        <f t="shared" si="63"/>
        <v>0</v>
      </c>
      <c r="F95" s="222">
        <f t="shared" si="63"/>
        <v>0</v>
      </c>
      <c r="G95" s="222">
        <f t="shared" si="63"/>
        <v>0</v>
      </c>
      <c r="H95" s="222">
        <f t="shared" si="63"/>
        <v>0</v>
      </c>
      <c r="I95" s="222">
        <f t="shared" si="63"/>
        <v>0</v>
      </c>
      <c r="J95" s="222">
        <f t="shared" si="63"/>
        <v>0</v>
      </c>
      <c r="K95" s="222">
        <f t="shared" si="63"/>
        <v>0</v>
      </c>
      <c r="L95" s="222">
        <f t="shared" si="63"/>
        <v>0</v>
      </c>
      <c r="M95" s="222">
        <f t="shared" si="63"/>
        <v>0</v>
      </c>
      <c r="N95" s="222">
        <f t="shared" si="63"/>
        <v>0</v>
      </c>
      <c r="O95" s="222">
        <f t="shared" si="63"/>
        <v>0</v>
      </c>
      <c r="P95" s="111">
        <f t="shared" si="52"/>
        <v>0</v>
      </c>
      <c r="Q95" s="92"/>
      <c r="R95" s="92"/>
      <c r="S95" s="92"/>
      <c r="T95" s="92"/>
      <c r="U95" s="92"/>
      <c r="V95" s="92"/>
    </row>
    <row r="96" spans="1:22">
      <c r="A96" s="23">
        <f t="shared" si="53"/>
        <v>96</v>
      </c>
      <c r="B96" s="191" t="s">
        <v>104</v>
      </c>
      <c r="C96" s="230"/>
      <c r="D96" s="222">
        <f>108.35*(D9&gt;=0.4054)</f>
        <v>108.35</v>
      </c>
      <c r="E96" s="114">
        <f t="shared" ref="E96:J96" si="64">108.35*(E9&gt;0)</f>
        <v>108.35</v>
      </c>
      <c r="F96" s="114">
        <f t="shared" si="64"/>
        <v>108.35</v>
      </c>
      <c r="G96" s="114">
        <f t="shared" si="64"/>
        <v>108.35</v>
      </c>
      <c r="H96" s="114">
        <f t="shared" si="64"/>
        <v>108.35</v>
      </c>
      <c r="I96" s="114">
        <f t="shared" si="64"/>
        <v>108.35</v>
      </c>
      <c r="J96" s="114">
        <f t="shared" si="64"/>
        <v>108.35</v>
      </c>
      <c r="K96" s="114">
        <f>108.35*(K9&gt;0)</f>
        <v>108.35</v>
      </c>
      <c r="L96" s="422">
        <v>0</v>
      </c>
      <c r="M96" s="114">
        <f>108.35*(M9&gt;0)</f>
        <v>108.35</v>
      </c>
      <c r="N96" s="114">
        <f>108.35*(N9&gt;0)</f>
        <v>108.35</v>
      </c>
      <c r="O96" s="114">
        <f>108.35*(O9&gt;0)</f>
        <v>108.35</v>
      </c>
      <c r="P96" s="111">
        <f t="shared" si="52"/>
        <v>1191.8499999999999</v>
      </c>
      <c r="Q96" s="92"/>
      <c r="R96" s="92"/>
      <c r="S96" s="92"/>
      <c r="T96" s="92"/>
      <c r="U96" s="92"/>
      <c r="V96" s="92"/>
    </row>
    <row r="97" spans="1:22">
      <c r="A97" s="23">
        <f t="shared" si="53"/>
        <v>97</v>
      </c>
      <c r="B97" s="192" t="s">
        <v>228</v>
      </c>
      <c r="C97" s="230"/>
      <c r="D97" s="223">
        <f>D65-(D87+D82+D84+D96)</f>
        <v>12871.045065005406</v>
      </c>
      <c r="E97" s="223">
        <f t="shared" ref="E97:O97" si="65">E65-(E87+E82+E84+E96)</f>
        <v>13126.83</v>
      </c>
      <c r="F97" s="223">
        <f t="shared" si="65"/>
        <v>13126.83</v>
      </c>
      <c r="G97" s="223">
        <f t="shared" si="65"/>
        <v>13126.83</v>
      </c>
      <c r="H97" s="223">
        <f t="shared" si="65"/>
        <v>13126.83</v>
      </c>
      <c r="I97" s="223">
        <f t="shared" si="65"/>
        <v>13416.83</v>
      </c>
      <c r="J97" s="223">
        <f t="shared" si="65"/>
        <v>13416.83</v>
      </c>
      <c r="K97" s="223">
        <f t="shared" si="65"/>
        <v>13416.83</v>
      </c>
      <c r="L97" s="223">
        <f t="shared" si="65"/>
        <v>1545.7866666666673</v>
      </c>
      <c r="M97" s="223">
        <f t="shared" si="65"/>
        <v>15503.819897316045</v>
      </c>
      <c r="N97" s="223">
        <f t="shared" si="65"/>
        <v>13641.049999999997</v>
      </c>
      <c r="O97" s="223">
        <f t="shared" si="65"/>
        <v>13022.641463975671</v>
      </c>
      <c r="P97" s="119">
        <f>SUM(C97:O97)</f>
        <v>149342.1530929638</v>
      </c>
      <c r="Q97" s="91"/>
      <c r="R97" s="91"/>
      <c r="S97" s="92"/>
      <c r="T97" s="92"/>
      <c r="U97" s="92"/>
      <c r="V97" s="92"/>
    </row>
    <row r="98" spans="1:22">
      <c r="A98" s="23">
        <f t="shared" si="53"/>
        <v>98</v>
      </c>
      <c r="B98" s="121" t="s">
        <v>349</v>
      </c>
      <c r="C98" s="244">
        <f>Ex11_12!P99</f>
        <v>112202.7492307525</v>
      </c>
      <c r="D98" s="142">
        <f>(SUM(D44:D63)+D81)*(1-12/260*D21)</f>
        <v>16341.111455975051</v>
      </c>
      <c r="E98" s="140">
        <f>(SUM(E44:E63)+E81)*(1-12/260*E21)</f>
        <v>21740.34</v>
      </c>
      <c r="F98" s="140">
        <f>(SUM(F44:F63)+F81)*(1-12/260*F21)</f>
        <v>21740.34</v>
      </c>
      <c r="G98" s="140">
        <f>(SUM(G44:G63)+G81)*(1-12/260*G21)</f>
        <v>21740.34</v>
      </c>
      <c r="H98" s="146">
        <f>(SUM(H44:H63)+H81)*(1-12/260*H21)</f>
        <v>21740.34</v>
      </c>
      <c r="I98" s="143" t="s">
        <v>233</v>
      </c>
      <c r="J98" s="123"/>
      <c r="K98" s="123"/>
      <c r="L98" s="123"/>
      <c r="M98" s="123"/>
      <c r="N98" s="123"/>
      <c r="O98" s="123"/>
      <c r="P98" s="111">
        <f>SUM(C98:H98)</f>
        <v>215505.22068672755</v>
      </c>
      <c r="Q98" s="130"/>
      <c r="R98" s="130"/>
      <c r="S98" s="92"/>
      <c r="T98" s="92"/>
      <c r="U98" s="92"/>
      <c r="V98" s="92"/>
    </row>
    <row r="99" spans="1:22">
      <c r="A99" s="23">
        <f t="shared" si="53"/>
        <v>99</v>
      </c>
      <c r="B99" s="193" t="s">
        <v>350</v>
      </c>
      <c r="C99" s="233"/>
      <c r="D99" s="144" t="s">
        <v>233</v>
      </c>
      <c r="E99" s="139"/>
      <c r="F99" s="139"/>
      <c r="G99" s="139"/>
      <c r="H99" s="141"/>
      <c r="I99" s="142">
        <f>(SUM(I$44:I$63)+I$81)*(1-12/260*I$21)</f>
        <v>21740.34</v>
      </c>
      <c r="J99" s="140">
        <f>(SUM(J$44:J$63)+J$81)*(1-12/260*J$21)</f>
        <v>21740.34</v>
      </c>
      <c r="K99" s="140">
        <f>(SUM(K$44:K$63)+K$81)*(1-12/260*K$21)</f>
        <v>21740.34</v>
      </c>
      <c r="L99" s="140">
        <f>(SUM(L$44:L$63)+L$81)*(1-12/260*L$21)</f>
        <v>2956.3266666666673</v>
      </c>
      <c r="M99" s="140">
        <f>(SUM(M$44:M$63)-M37+M$81)*(1-12/260*M$21)</f>
        <v>22172.509794670612</v>
      </c>
      <c r="N99" s="140">
        <f>(SUM(N$44:N$63)-N37+N$81)*(1-12/260*N$21)</f>
        <v>22172.51</v>
      </c>
      <c r="O99" s="140">
        <f>(SUM(O$44:O$63)-O37+O$81)*(1-12/260*O$21)</f>
        <v>1614.6113395875248</v>
      </c>
      <c r="P99" s="145">
        <f t="shared" si="52"/>
        <v>114136.9778009248</v>
      </c>
      <c r="Q99" s="130"/>
      <c r="R99" s="130"/>
      <c r="S99" s="92"/>
      <c r="T99" s="92"/>
      <c r="U99" s="92"/>
      <c r="V99" s="92"/>
    </row>
    <row r="100" spans="1:22" s="124" customFormat="1">
      <c r="A100" s="23">
        <f t="shared" si="53"/>
        <v>100</v>
      </c>
      <c r="B100" s="136" t="s">
        <v>234</v>
      </c>
      <c r="C100" s="231"/>
      <c r="D100" s="224">
        <f>IF(D9&gt;0,(D44+D45+D52+D53+D54+D55+D56+D57)/D9,0)</f>
        <v>25929.135135135137</v>
      </c>
      <c r="E100" s="137">
        <f t="shared" ref="E100:O100" si="66">IF(E9&gt;0,(E44+E45+E52+E53+E54+E55+E56+E57)/E9,0)</f>
        <v>25929.135135135137</v>
      </c>
      <c r="F100" s="137">
        <f t="shared" si="66"/>
        <v>25929.135135135137</v>
      </c>
      <c r="G100" s="137">
        <f t="shared" si="66"/>
        <v>25929.135135135137</v>
      </c>
      <c r="H100" s="137">
        <f t="shared" si="66"/>
        <v>25929.135135135137</v>
      </c>
      <c r="I100" s="137">
        <f t="shared" si="66"/>
        <v>25929.135135135137</v>
      </c>
      <c r="J100" s="137">
        <f t="shared" si="66"/>
        <v>25929.135135135137</v>
      </c>
      <c r="K100" s="137">
        <f t="shared" si="66"/>
        <v>25929.135135135137</v>
      </c>
      <c r="L100" s="137">
        <f t="shared" si="66"/>
        <v>3526.1756756756763</v>
      </c>
      <c r="M100" s="137">
        <f t="shared" si="66"/>
        <v>26446.31081081081</v>
      </c>
      <c r="N100" s="137">
        <f t="shared" si="66"/>
        <v>26446.31081081081</v>
      </c>
      <c r="O100" s="137">
        <f t="shared" si="66"/>
        <v>26446.31081081081</v>
      </c>
      <c r="P100" s="138"/>
      <c r="Q100" s="92"/>
      <c r="R100" s="92"/>
      <c r="S100" s="92"/>
      <c r="T100" s="92"/>
      <c r="U100" s="92"/>
      <c r="V100" s="92"/>
    </row>
    <row r="101" spans="1:22" s="124" customFormat="1" ht="13" thickBot="1">
      <c r="A101" s="23">
        <f>A100+1</f>
        <v>101</v>
      </c>
      <c r="B101" s="124" t="s">
        <v>268</v>
      </c>
      <c r="C101" s="231"/>
      <c r="D101" s="125">
        <f>IF(D9&gt;0,(D66+D73+D74+D76+D77)/D9,0)</f>
        <v>1438.0540540540542</v>
      </c>
      <c r="E101" s="125">
        <f t="shared" ref="E101:O101" si="67">IF(E9&gt;0,(E66+E73+E74+E76+E77)/E9,0)</f>
        <v>1438.0540540540542</v>
      </c>
      <c r="F101" s="125">
        <f t="shared" si="67"/>
        <v>1438.0540540540542</v>
      </c>
      <c r="G101" s="125">
        <f t="shared" si="67"/>
        <v>1438.0540540540542</v>
      </c>
      <c r="H101" s="125">
        <f t="shared" si="67"/>
        <v>1438.0540540540542</v>
      </c>
      <c r="I101" s="125">
        <f t="shared" si="67"/>
        <v>1438.0540540540542</v>
      </c>
      <c r="J101" s="125">
        <f t="shared" si="67"/>
        <v>1438.0540540540542</v>
      </c>
      <c r="K101" s="125">
        <f t="shared" si="67"/>
        <v>1438.0540540540542</v>
      </c>
      <c r="L101" s="125">
        <f t="shared" si="67"/>
        <v>195.6081081081081</v>
      </c>
      <c r="M101" s="125">
        <f t="shared" si="67"/>
        <v>1467.0945945945948</v>
      </c>
      <c r="N101" s="125">
        <f t="shared" si="67"/>
        <v>1467.0945945945948</v>
      </c>
      <c r="O101" s="125">
        <f t="shared" si="67"/>
        <v>1467.0945945945948</v>
      </c>
      <c r="P101" s="126"/>
      <c r="Q101" s="92"/>
      <c r="R101" s="92"/>
      <c r="S101" s="92"/>
      <c r="T101" s="92"/>
      <c r="U101" s="92"/>
      <c r="V101" s="92"/>
    </row>
    <row r="102" spans="1:22" ht="13" thickTop="1">
      <c r="A102" s="132">
        <f>A101+1</f>
        <v>102</v>
      </c>
      <c r="B102" s="133" t="s">
        <v>97</v>
      </c>
      <c r="C102" s="232"/>
      <c r="D102" s="157">
        <f t="shared" ref="D102:K102" si="68">IF(LEFT(D$4)&lt;&gt;"b",IF(D$10&gt;=650,650*ROUND(16.38*D$7,2)/12,D$10*ROUND(16.38*D$7,2)/12),IF(D$10&gt;=750,750*ROUND(22.41*D$7,2)/12,D$10*ROUND(22.41*D$7,2)/12))</f>
        <v>1248.5</v>
      </c>
      <c r="E102" s="157">
        <f t="shared" si="68"/>
        <v>1248.5</v>
      </c>
      <c r="F102" s="157">
        <f t="shared" si="68"/>
        <v>1248.5</v>
      </c>
      <c r="G102" s="157">
        <f t="shared" si="68"/>
        <v>1248.5</v>
      </c>
      <c r="H102" s="157">
        <f t="shared" si="68"/>
        <v>1248.5</v>
      </c>
      <c r="I102" s="157">
        <f t="shared" si="68"/>
        <v>1248.5</v>
      </c>
      <c r="J102" s="157">
        <f t="shared" si="68"/>
        <v>1248.5</v>
      </c>
      <c r="K102" s="157">
        <f t="shared" si="68"/>
        <v>1248.5</v>
      </c>
      <c r="L102" s="157">
        <f>IF(LEFT(L$4)&lt;&gt;"b",IF(L$10&gt;=650,650*ROUND(16.38*L$7,2)/12,L$10*ROUND(16.38*L$7,2)/12),IF(L$10&gt;=750,750*ROUND(22.41*L$7,2)/12,L$10*ROUND(22.41*L$7,2)/12))</f>
        <v>1273.8</v>
      </c>
      <c r="M102" s="157">
        <f>IF(LEFT(M$4)&lt;&gt;"b",IF(M$10&gt;=650,650*ROUND(16.38*M$7,2)/12,M$10*ROUND(16.38*M$7,2)/12),IF(M$10&gt;=750,750*ROUND(22.41*M$7,2)/12,M$10*ROUND(22.41*M$7,2)/12))</f>
        <v>1273.8</v>
      </c>
      <c r="N102" s="157">
        <f>IF(LEFT(N$4)&lt;&gt;"b",IF(N$10&gt;=650,650*ROUND(16.38*N$7,2)/12,N$10*ROUND(16.38*N$7,2)/12),IF(N$10&gt;=750,750*ROUND(22.41*N$7,2)/12,N$10*ROUND(22.41*N$7,2)/12))</f>
        <v>1273.8</v>
      </c>
      <c r="O102" s="157">
        <f>IF(LEFT(O$4)&lt;&gt;"b",IF(O$10&gt;=650,650*ROUND(16.38*O$7,2)/12,O$10*ROUND(16.38*O$7,2)/12),IF(O$10&gt;=750,750*ROUND(22.41*O$7,2)/12,O$10*ROUND(22.41*O$7,2)/12))</f>
        <v>1273.8</v>
      </c>
      <c r="P102" s="134" t="s">
        <v>199</v>
      </c>
      <c r="Q102" s="92"/>
      <c r="R102" s="92"/>
      <c r="S102" s="92"/>
      <c r="T102" s="92"/>
      <c r="U102" s="92"/>
      <c r="V102" s="92"/>
    </row>
    <row r="103" spans="1:22">
      <c r="A103" s="23">
        <f>A102+1</f>
        <v>103</v>
      </c>
      <c r="B103" s="194" t="s">
        <v>98</v>
      </c>
      <c r="C103" s="232"/>
      <c r="D103" s="115">
        <f t="shared" ref="D103:K103" si="69">IF(LEFT(D$4)&lt;&gt;"b",IF(D$10&gt;650,IF(D$10&gt;=700,50*ROUND(98.3*D$7,2)/12,(D$10-650)*ROUND(98.3*D$7,2)/12),0),IF(D$10&gt;750,IF(D$10&gt;=800,50*ROUND(65.53*D$7,2)/12,(D$10-750)*ROUND(65.53*D$7,2)/12),0))</f>
        <v>0</v>
      </c>
      <c r="E103" s="115">
        <f t="shared" si="69"/>
        <v>0</v>
      </c>
      <c r="F103" s="115">
        <f t="shared" si="69"/>
        <v>0</v>
      </c>
      <c r="G103" s="115">
        <f t="shared" si="69"/>
        <v>0</v>
      </c>
      <c r="H103" s="115">
        <f t="shared" si="69"/>
        <v>0</v>
      </c>
      <c r="I103" s="115">
        <f t="shared" si="69"/>
        <v>0</v>
      </c>
      <c r="J103" s="115">
        <f t="shared" si="69"/>
        <v>0</v>
      </c>
      <c r="K103" s="115">
        <f t="shared" si="69"/>
        <v>0</v>
      </c>
      <c r="L103" s="115">
        <f>IF(LEFT(L$4)&lt;&gt;"b",IF(L$10&gt;650,IF(L$10&gt;=700,50*ROUND(98.3*L$7,2)/12,(L$10-650)*ROUND(98.3*L$7,2)/12),0),IF(L$10&gt;750,IF(L$10&gt;=800,50*ROUND(65.53*L$7,2)/12,(L$10-750)*ROUND(65.53*L$7,2)/12),0))</f>
        <v>0</v>
      </c>
      <c r="M103" s="115">
        <f>IF(LEFT(M$4)&lt;&gt;"b",IF(M$10&gt;650,IF(M$10&gt;=700,50*ROUND(98.3*M$7,2)/12,(M$10-650)*ROUND(98.3*M$7,2)/12),0),IF(M$10&gt;750,IF(M$10&gt;=800,50*ROUND(65.53*M$7,2)/12,(M$10-750)*ROUND(65.53*M$7,2)/12),0))</f>
        <v>0</v>
      </c>
      <c r="N103" s="115">
        <f>IF(LEFT(N$4)&lt;&gt;"b",IF(N$10&gt;650,IF(N$10&gt;=700,50*ROUND(98.3*N$7,2)/12,(N$10-650)*ROUND(98.3*N$7,2)/12),0),IF(N$10&gt;750,IF(N$10&gt;=800,50*ROUND(65.53*N$7,2)/12,(N$10-750)*ROUND(65.53*N$7,2)/12),0))</f>
        <v>0</v>
      </c>
      <c r="O103" s="115">
        <f>IF(LEFT(O$4)&lt;&gt;"b",IF(O$10&gt;650,IF(O$10&gt;=700,50*ROUND(98.3*O$7,2)/12,(O$10-650)*ROUND(98.3*O$7,2)/12),0),IF(O$10&gt;750,IF(O$10&gt;=800,50*ROUND(65.53*O$7,2)/12,(O$10-750)*ROUND(65.53*O$7,2)/12),0))</f>
        <v>0</v>
      </c>
      <c r="P103" s="116" t="s">
        <v>199</v>
      </c>
      <c r="Q103" s="92"/>
      <c r="R103" s="92"/>
      <c r="S103" s="92"/>
      <c r="T103" s="92"/>
      <c r="U103" s="92"/>
      <c r="V103" s="92"/>
    </row>
    <row r="104" spans="1:22">
      <c r="A104" s="23">
        <f>A103+1</f>
        <v>104</v>
      </c>
      <c r="B104" s="194" t="s">
        <v>179</v>
      </c>
      <c r="C104" s="232"/>
      <c r="D104" s="115">
        <f t="shared" ref="D104:K104" si="70">IF(LEFT(D$4)&lt;&gt;"b",IF(D$10&gt;700,IF(D$10&gt;=750,50*ROUND(131.07*D$7,2)/12,(D$10-700)*ROUND(131.07*D$7,2)/12),0),IF(D$10&gt;800,IF(D$10&gt;=835,35*ROUND(131.07*D$7,2)/12,(D$10-800)*ROUND(131.07*D$7,2)/12),0))</f>
        <v>0</v>
      </c>
      <c r="E104" s="115">
        <f t="shared" si="70"/>
        <v>0</v>
      </c>
      <c r="F104" s="115">
        <f t="shared" si="70"/>
        <v>0</v>
      </c>
      <c r="G104" s="115">
        <f t="shared" si="70"/>
        <v>0</v>
      </c>
      <c r="H104" s="115">
        <f t="shared" si="70"/>
        <v>0</v>
      </c>
      <c r="I104" s="115">
        <f t="shared" si="70"/>
        <v>0</v>
      </c>
      <c r="J104" s="115">
        <f t="shared" si="70"/>
        <v>0</v>
      </c>
      <c r="K104" s="115">
        <f t="shared" si="70"/>
        <v>0</v>
      </c>
      <c r="L104" s="115">
        <f>IF(LEFT(L$4)&lt;&gt;"b",IF(L$10&gt;700,IF(L$10&gt;=750,50*ROUND(131.07*L$7,2)/12,(L$10-700)*ROUND(131.07*L$7,2)/12),0),IF(L$10&gt;800,IF(L$10&gt;=835,35*ROUND(131.07*L$7,2)/12,(L$10-800)*ROUND(131.07*L$7,2)/12),0))</f>
        <v>0</v>
      </c>
      <c r="M104" s="115">
        <f>IF(LEFT(M$4)&lt;&gt;"b",IF(M$10&gt;700,IF(M$10&gt;=750,50*ROUND(131.07*M$7,2)/12,(M$10-700)*ROUND(131.07*M$7,2)/12),0),IF(M$10&gt;800,IF(M$10&gt;=835,35*ROUND(131.07*M$7,2)/12,(M$10-800)*ROUND(131.07*M$7,2)/12),0))</f>
        <v>0</v>
      </c>
      <c r="N104" s="115">
        <f>IF(LEFT(N$4)&lt;&gt;"b",IF(N$10&gt;700,IF(N$10&gt;=750,50*ROUND(131.07*N$7,2)/12,(N$10-700)*ROUND(131.07*N$7,2)/12),0),IF(N$10&gt;800,IF(N$10&gt;=835,35*ROUND(131.07*N$7,2)/12,(N$10-800)*ROUND(131.07*N$7,2)/12),0))</f>
        <v>0</v>
      </c>
      <c r="O104" s="115">
        <f>IF(LEFT(O$4)&lt;&gt;"b",IF(O$10&gt;700,IF(O$10&gt;=750,50*ROUND(131.07*O$7,2)/12,(O$10-700)*ROUND(131.07*O$7,2)/12),0),IF(O$10&gt;800,IF(O$10&gt;=835,35*ROUND(131.07*O$7,2)/12,(O$10-800)*ROUND(131.07*O$7,2)/12),0))</f>
        <v>0</v>
      </c>
      <c r="P104" s="116" t="s">
        <v>199</v>
      </c>
      <c r="Q104" s="92"/>
      <c r="R104" s="92"/>
      <c r="S104" s="92"/>
      <c r="T104" s="92"/>
      <c r="U104" s="92"/>
      <c r="V104" s="92"/>
    </row>
    <row r="105" spans="1:22">
      <c r="A105" s="23">
        <f>A104+1</f>
        <v>105</v>
      </c>
      <c r="B105" s="195" t="s">
        <v>180</v>
      </c>
      <c r="C105" s="232"/>
      <c r="D105" s="117">
        <f t="shared" ref="D105:K105" si="71">IF(LEFT(D$4)&lt;&gt;"b",IF(D$10&gt;750,(D$10-750)*ROUND(163.83*D$7,2)/12,0),IF(D$10&gt;835,(D$10-835)*ROUND(163.83*D$7,2)/12,0))</f>
        <v>0</v>
      </c>
      <c r="E105" s="117">
        <f t="shared" si="71"/>
        <v>0</v>
      </c>
      <c r="F105" s="117">
        <f t="shared" si="71"/>
        <v>0</v>
      </c>
      <c r="G105" s="117">
        <f t="shared" si="71"/>
        <v>0</v>
      </c>
      <c r="H105" s="117">
        <f t="shared" si="71"/>
        <v>0</v>
      </c>
      <c r="I105" s="117">
        <f t="shared" si="71"/>
        <v>0</v>
      </c>
      <c r="J105" s="117">
        <f t="shared" si="71"/>
        <v>0</v>
      </c>
      <c r="K105" s="117">
        <f t="shared" si="71"/>
        <v>0</v>
      </c>
      <c r="L105" s="117">
        <f>IF(LEFT(L$4)&lt;&gt;"b",IF(L$10&gt;750,(L$10-750)*ROUND(163.83*L$7,2)/12,0),IF(L$10&gt;835,(L$10-835)*ROUND(163.83*L$7,2)/12,0))</f>
        <v>0</v>
      </c>
      <c r="M105" s="117">
        <f>IF(LEFT(M$4)&lt;&gt;"b",IF(M$10&gt;750,(M$10-750)*ROUND(163.83*M$7,2)/12,0),IF(M$10&gt;835,(M$10-835)*ROUND(163.83*M$7,2)/12,0))</f>
        <v>0</v>
      </c>
      <c r="N105" s="117">
        <f>IF(LEFT(N$4)&lt;&gt;"b",IF(N$10&gt;750,(N$10-750)*ROUND(163.83*N$7,2)/12,0),IF(N$10&gt;835,(N$10-835)*ROUND(163.83*N$7,2)/12,0))</f>
        <v>0</v>
      </c>
      <c r="O105" s="117">
        <f>IF(LEFT(O$4)&lt;&gt;"b",IF(O$10&gt;750,(O$10-750)*ROUND(163.83*O$7,2)/12,0),IF(O$10&gt;835,(O$10-835)*ROUND(163.83*O$7,2)/12,0))</f>
        <v>0</v>
      </c>
      <c r="P105" s="118" t="s">
        <v>199</v>
      </c>
      <c r="Q105" s="92"/>
      <c r="R105" s="92"/>
      <c r="S105" s="92"/>
      <c r="T105" s="92"/>
      <c r="U105" s="92"/>
      <c r="V105" s="92"/>
    </row>
    <row r="106" spans="1:22">
      <c r="C106" s="245"/>
      <c r="Q106" s="92"/>
      <c r="R106" s="92"/>
      <c r="S106" s="92"/>
      <c r="T106" s="92"/>
      <c r="U106" s="92"/>
      <c r="V106" s="92"/>
    </row>
    <row r="107" spans="1:22" s="127" customFormat="1">
      <c r="A107" s="91"/>
      <c r="B107" s="92"/>
      <c r="C107" s="92"/>
      <c r="D107" s="120"/>
      <c r="E107" s="120"/>
      <c r="F107" s="120"/>
      <c r="G107" s="120"/>
      <c r="H107" s="120"/>
      <c r="I107" s="120"/>
      <c r="J107" s="120"/>
      <c r="K107" s="120"/>
      <c r="L107" s="120"/>
      <c r="M107" s="120"/>
      <c r="N107" s="120"/>
      <c r="O107" s="120"/>
      <c r="P107" s="90"/>
      <c r="Q107" s="92"/>
      <c r="R107" s="92"/>
      <c r="S107" s="92"/>
      <c r="T107" s="92"/>
      <c r="U107" s="92"/>
      <c r="V107" s="92"/>
    </row>
    <row r="108" spans="1:22" s="127" customFormat="1">
      <c r="A108" s="91"/>
      <c r="B108" s="92"/>
      <c r="C108" s="92"/>
      <c r="D108" s="120"/>
      <c r="E108" s="93"/>
      <c r="F108" s="93"/>
      <c r="G108" s="93"/>
      <c r="H108" s="93"/>
      <c r="I108" s="93"/>
      <c r="J108" s="93"/>
      <c r="K108" s="93"/>
      <c r="L108" s="93"/>
      <c r="M108" s="93"/>
      <c r="N108" s="93"/>
      <c r="O108" s="93"/>
      <c r="P108" s="90"/>
      <c r="Q108" s="92"/>
      <c r="R108" s="92"/>
      <c r="S108" s="92"/>
      <c r="T108" s="92"/>
      <c r="U108" s="92"/>
      <c r="V108" s="92"/>
    </row>
    <row r="109" spans="1:22" s="127" customFormat="1">
      <c r="A109" s="91"/>
      <c r="B109" s="92"/>
      <c r="C109" s="92"/>
      <c r="D109" s="93"/>
      <c r="E109" s="93"/>
      <c r="F109" s="93"/>
      <c r="G109" s="93"/>
      <c r="H109" s="93"/>
      <c r="I109" s="93"/>
      <c r="J109" s="93"/>
      <c r="K109" s="93"/>
      <c r="L109" s="93"/>
      <c r="M109" s="93"/>
      <c r="N109" s="93"/>
      <c r="O109" s="93"/>
      <c r="P109" s="90"/>
      <c r="Q109" s="92"/>
      <c r="R109" s="92"/>
      <c r="S109" s="92"/>
      <c r="T109" s="92"/>
      <c r="U109" s="92"/>
      <c r="V109" s="92"/>
    </row>
    <row r="110" spans="1:22" s="127" customFormat="1">
      <c r="A110" s="91"/>
      <c r="B110" s="92"/>
      <c r="C110" s="92"/>
      <c r="D110" s="93"/>
      <c r="E110" s="93"/>
      <c r="F110" s="93"/>
      <c r="G110" s="93"/>
      <c r="H110" s="93"/>
      <c r="I110" s="93"/>
      <c r="J110" s="93"/>
      <c r="K110" s="93"/>
      <c r="L110" s="93"/>
      <c r="M110" s="93"/>
      <c r="N110" s="93"/>
      <c r="O110" s="93"/>
      <c r="P110" s="90"/>
      <c r="Q110" s="92"/>
      <c r="R110" s="92"/>
      <c r="S110" s="92"/>
      <c r="T110" s="92"/>
      <c r="U110" s="92"/>
      <c r="V110" s="92"/>
    </row>
    <row r="111" spans="1:22" s="127" customFormat="1">
      <c r="A111" s="91"/>
      <c r="B111" s="92"/>
      <c r="C111" s="92"/>
      <c r="D111" s="93"/>
      <c r="E111" s="93"/>
      <c r="F111" s="93"/>
      <c r="G111" s="93"/>
      <c r="H111" s="93"/>
      <c r="I111" s="93"/>
      <c r="J111" s="93"/>
      <c r="K111" s="93"/>
      <c r="L111" s="93"/>
      <c r="M111" s="93"/>
      <c r="N111" s="93"/>
      <c r="O111" s="93"/>
      <c r="P111" s="90"/>
      <c r="Q111" s="92"/>
      <c r="R111" s="92"/>
      <c r="S111" s="92"/>
      <c r="T111" s="92"/>
      <c r="U111" s="92"/>
      <c r="V111" s="92"/>
    </row>
    <row r="112" spans="1:22">
      <c r="A112" s="85"/>
      <c r="B112" s="86"/>
      <c r="C112" s="86"/>
      <c r="D112" s="87"/>
      <c r="E112" s="87"/>
      <c r="F112" s="87"/>
      <c r="G112" s="87"/>
      <c r="H112" s="87"/>
      <c r="I112" s="87"/>
      <c r="J112" s="87"/>
      <c r="K112" s="87"/>
      <c r="L112" s="87"/>
      <c r="M112" s="87"/>
      <c r="N112" s="87"/>
      <c r="O112" s="87"/>
      <c r="P112" s="88"/>
    </row>
    <row r="113" spans="1:16">
      <c r="A113" s="85"/>
      <c r="B113" s="400"/>
      <c r="C113" s="86"/>
      <c r="D113" s="87"/>
      <c r="E113" s="87"/>
      <c r="F113" s="87"/>
      <c r="G113" s="87"/>
      <c r="H113" s="87"/>
      <c r="I113" s="87"/>
      <c r="J113" s="87"/>
      <c r="K113" s="87"/>
      <c r="L113" s="87"/>
      <c r="M113" s="87"/>
      <c r="N113" s="87"/>
      <c r="O113" s="87"/>
      <c r="P113" s="88"/>
    </row>
    <row r="114" spans="1:16">
      <c r="A114" s="85"/>
      <c r="B114" s="86"/>
      <c r="C114" s="86"/>
      <c r="D114" s="87"/>
      <c r="E114" s="87"/>
      <c r="F114" s="87"/>
      <c r="G114" s="87"/>
      <c r="H114" s="87"/>
      <c r="I114" s="87"/>
      <c r="J114" s="87"/>
      <c r="K114" s="87"/>
      <c r="L114" s="87"/>
      <c r="M114" s="87"/>
      <c r="N114" s="87"/>
      <c r="O114" s="87"/>
      <c r="P114" s="88"/>
    </row>
    <row r="115" spans="1:16">
      <c r="A115" s="85"/>
      <c r="B115" s="86"/>
      <c r="C115" s="86"/>
      <c r="D115" s="87"/>
      <c r="E115" s="87"/>
      <c r="F115" s="87"/>
      <c r="G115" s="87"/>
      <c r="H115" s="87"/>
      <c r="I115" s="87"/>
      <c r="J115" s="87"/>
      <c r="K115" s="87"/>
      <c r="L115" s="87"/>
      <c r="M115" s="87"/>
      <c r="N115" s="87"/>
      <c r="O115" s="87"/>
      <c r="P115" s="88"/>
    </row>
    <row r="116" spans="1:16">
      <c r="A116" s="85"/>
      <c r="B116" s="86"/>
      <c r="C116" s="86"/>
      <c r="D116" s="87"/>
      <c r="E116" s="87"/>
      <c r="F116" s="87"/>
      <c r="G116" s="87"/>
      <c r="H116" s="87"/>
      <c r="I116" s="87"/>
      <c r="J116" s="87"/>
      <c r="K116" s="87"/>
      <c r="L116" s="87"/>
      <c r="M116" s="87"/>
      <c r="N116" s="87"/>
      <c r="O116" s="87"/>
      <c r="P116" s="88"/>
    </row>
    <row r="117" spans="1:16">
      <c r="A117" s="85"/>
      <c r="B117" s="86"/>
      <c r="C117" s="86"/>
      <c r="D117" s="87"/>
      <c r="E117" s="87"/>
      <c r="F117" s="87"/>
      <c r="G117" s="87"/>
      <c r="H117" s="87"/>
      <c r="I117" s="87"/>
      <c r="J117" s="87"/>
      <c r="K117" s="87"/>
      <c r="L117" s="87"/>
      <c r="M117" s="87"/>
      <c r="N117" s="87"/>
      <c r="O117" s="87"/>
      <c r="P117" s="88"/>
    </row>
    <row r="118" spans="1:16">
      <c r="A118" s="85"/>
      <c r="B118" s="86"/>
      <c r="C118" s="86"/>
      <c r="D118" s="87"/>
      <c r="E118" s="87"/>
      <c r="F118" s="87"/>
      <c r="G118" s="87"/>
      <c r="H118" s="87"/>
      <c r="I118" s="87"/>
      <c r="J118" s="87"/>
      <c r="K118" s="87"/>
      <c r="L118" s="87"/>
      <c r="M118" s="87"/>
      <c r="N118" s="87"/>
      <c r="O118" s="87"/>
      <c r="P118" s="88"/>
    </row>
    <row r="119" spans="1:16">
      <c r="A119" s="85"/>
      <c r="B119" s="86"/>
      <c r="C119" s="86"/>
      <c r="D119" s="87"/>
      <c r="E119" s="87"/>
      <c r="F119" s="87"/>
      <c r="G119" s="87"/>
      <c r="H119" s="87"/>
      <c r="I119" s="87"/>
      <c r="J119" s="87"/>
      <c r="K119" s="87"/>
      <c r="L119" s="87"/>
      <c r="M119" s="87"/>
      <c r="N119" s="87"/>
      <c r="O119" s="87"/>
      <c r="P119" s="88"/>
    </row>
    <row r="120" spans="1:16">
      <c r="A120" s="85"/>
      <c r="B120" s="86"/>
      <c r="C120" s="86"/>
      <c r="D120" s="87"/>
      <c r="E120" s="87"/>
      <c r="F120" s="87"/>
      <c r="G120" s="87"/>
      <c r="H120" s="87"/>
      <c r="I120" s="87"/>
      <c r="J120" s="87"/>
      <c r="K120" s="87"/>
      <c r="L120" s="87"/>
      <c r="M120" s="87"/>
      <c r="N120" s="87"/>
      <c r="O120" s="87"/>
      <c r="P120" s="88"/>
    </row>
    <row r="121" spans="1:16">
      <c r="A121" s="85"/>
      <c r="B121" s="86"/>
      <c r="C121" s="86"/>
      <c r="D121" s="87"/>
      <c r="E121" s="87"/>
      <c r="F121" s="87"/>
      <c r="G121" s="87"/>
      <c r="H121" s="87"/>
      <c r="I121" s="87"/>
      <c r="J121" s="87"/>
      <c r="K121" s="87"/>
      <c r="L121" s="87"/>
      <c r="M121" s="87"/>
      <c r="N121" s="87"/>
      <c r="O121" s="87"/>
      <c r="P121" s="88"/>
    </row>
    <row r="122" spans="1:16">
      <c r="A122" s="85"/>
      <c r="B122" s="86"/>
      <c r="C122" s="86"/>
      <c r="D122" s="87"/>
      <c r="E122" s="87"/>
      <c r="F122" s="87"/>
      <c r="G122" s="87"/>
      <c r="H122" s="87"/>
      <c r="I122" s="87"/>
      <c r="J122" s="87"/>
      <c r="K122" s="87"/>
      <c r="L122" s="87"/>
      <c r="M122" s="87"/>
      <c r="N122" s="87"/>
      <c r="O122" s="87"/>
      <c r="P122" s="88"/>
    </row>
    <row r="123" spans="1:16">
      <c r="A123" s="85"/>
      <c r="B123" s="86"/>
      <c r="C123" s="86"/>
      <c r="D123" s="87"/>
      <c r="E123" s="87"/>
      <c r="F123" s="87"/>
      <c r="G123" s="87"/>
      <c r="H123" s="87"/>
      <c r="I123" s="87"/>
      <c r="J123" s="87"/>
      <c r="K123" s="87"/>
      <c r="L123" s="87"/>
      <c r="M123" s="87"/>
      <c r="N123" s="87"/>
      <c r="O123" s="87"/>
      <c r="P123" s="88"/>
    </row>
    <row r="124" spans="1:16">
      <c r="A124" s="85"/>
      <c r="B124" s="86"/>
      <c r="C124" s="86"/>
      <c r="D124" s="87"/>
      <c r="E124" s="87"/>
      <c r="F124" s="87"/>
      <c r="G124" s="87"/>
      <c r="H124" s="87"/>
      <c r="I124" s="87"/>
      <c r="J124" s="87"/>
      <c r="K124" s="87"/>
      <c r="L124" s="87"/>
      <c r="M124" s="87"/>
      <c r="N124" s="87"/>
      <c r="O124" s="87"/>
      <c r="P124" s="88"/>
    </row>
    <row r="125" spans="1:16">
      <c r="A125" s="85"/>
      <c r="B125" s="86"/>
      <c r="C125" s="86"/>
      <c r="D125" s="87"/>
      <c r="E125" s="87"/>
      <c r="F125" s="87"/>
      <c r="G125" s="87"/>
      <c r="H125" s="87"/>
      <c r="I125" s="87"/>
      <c r="J125" s="87"/>
      <c r="K125" s="87"/>
      <c r="L125" s="87"/>
      <c r="M125" s="87"/>
      <c r="N125" s="87"/>
      <c r="O125" s="87"/>
      <c r="P125" s="88"/>
    </row>
    <row r="126" spans="1:16">
      <c r="A126" s="85"/>
      <c r="B126" s="86"/>
      <c r="C126" s="86"/>
      <c r="D126" s="87"/>
      <c r="E126" s="87"/>
      <c r="F126" s="87"/>
      <c r="G126" s="87"/>
      <c r="H126" s="87"/>
      <c r="I126" s="87"/>
      <c r="J126" s="87"/>
      <c r="K126" s="87"/>
      <c r="L126" s="87"/>
      <c r="M126" s="87"/>
      <c r="N126" s="87"/>
      <c r="O126" s="87"/>
      <c r="P126" s="88"/>
    </row>
    <row r="127" spans="1:16">
      <c r="A127" s="85"/>
      <c r="B127" s="86"/>
      <c r="C127" s="86"/>
      <c r="D127" s="87"/>
      <c r="E127" s="87"/>
      <c r="F127" s="87"/>
      <c r="G127" s="87"/>
      <c r="H127" s="87"/>
      <c r="I127" s="87"/>
      <c r="J127" s="87"/>
      <c r="K127" s="87"/>
      <c r="L127" s="87"/>
      <c r="M127" s="87"/>
      <c r="N127" s="87"/>
      <c r="O127" s="87"/>
      <c r="P127" s="88"/>
    </row>
    <row r="128" spans="1:16">
      <c r="A128" s="85"/>
      <c r="B128" s="86"/>
      <c r="C128" s="86"/>
      <c r="D128" s="87"/>
      <c r="E128" s="87"/>
      <c r="F128" s="87"/>
      <c r="G128" s="87"/>
      <c r="H128" s="87"/>
      <c r="I128" s="87"/>
      <c r="J128" s="87"/>
      <c r="K128" s="87"/>
      <c r="L128" s="87"/>
      <c r="M128" s="87"/>
      <c r="N128" s="87"/>
      <c r="O128" s="87"/>
      <c r="P128" s="88"/>
    </row>
    <row r="129" spans="1:16">
      <c r="A129" s="85"/>
      <c r="B129" s="86"/>
      <c r="C129" s="86"/>
      <c r="D129" s="87"/>
      <c r="E129" s="87"/>
      <c r="F129" s="87"/>
      <c r="G129" s="87"/>
      <c r="H129" s="87"/>
      <c r="I129" s="87"/>
      <c r="J129" s="87"/>
      <c r="K129" s="87"/>
      <c r="L129" s="87"/>
      <c r="M129" s="87"/>
      <c r="N129" s="87"/>
      <c r="O129" s="87"/>
      <c r="P129" s="88"/>
    </row>
    <row r="130" spans="1:16">
      <c r="A130" s="85"/>
      <c r="B130" s="86"/>
      <c r="C130" s="86"/>
      <c r="D130" s="87"/>
      <c r="E130" s="87"/>
      <c r="F130" s="87"/>
      <c r="G130" s="87"/>
      <c r="H130" s="87"/>
      <c r="I130" s="87"/>
      <c r="J130" s="87"/>
      <c r="K130" s="87"/>
      <c r="L130" s="87"/>
      <c r="M130" s="87"/>
      <c r="N130" s="87"/>
      <c r="O130" s="87"/>
      <c r="P130" s="88"/>
    </row>
    <row r="131" spans="1:16">
      <c r="A131" s="85"/>
      <c r="B131" s="86"/>
      <c r="C131" s="86"/>
      <c r="D131" s="87"/>
      <c r="E131" s="87"/>
      <c r="F131" s="87"/>
      <c r="G131" s="87"/>
      <c r="H131" s="87"/>
      <c r="I131" s="87"/>
      <c r="J131" s="87"/>
      <c r="K131" s="87"/>
      <c r="L131" s="87"/>
      <c r="M131" s="87"/>
      <c r="N131" s="87"/>
      <c r="O131" s="87"/>
      <c r="P131" s="88"/>
    </row>
    <row r="132" spans="1:16">
      <c r="A132" s="85"/>
      <c r="B132" s="86"/>
      <c r="C132" s="86"/>
      <c r="D132" s="87"/>
      <c r="E132" s="87"/>
      <c r="F132" s="87"/>
      <c r="G132" s="87"/>
      <c r="H132" s="87"/>
      <c r="I132" s="87"/>
      <c r="J132" s="87"/>
      <c r="K132" s="87"/>
      <c r="L132" s="87"/>
      <c r="M132" s="87"/>
      <c r="N132" s="87"/>
      <c r="O132" s="87"/>
      <c r="P132" s="88"/>
    </row>
    <row r="133" spans="1:16">
      <c r="A133" s="85"/>
      <c r="B133" s="86"/>
      <c r="C133" s="86"/>
      <c r="D133" s="87"/>
      <c r="E133" s="87"/>
      <c r="F133" s="87"/>
      <c r="G133" s="87"/>
      <c r="H133" s="87"/>
      <c r="I133" s="87"/>
      <c r="J133" s="87"/>
      <c r="K133" s="87"/>
      <c r="L133" s="87"/>
      <c r="M133" s="87"/>
      <c r="N133" s="87"/>
      <c r="O133" s="87"/>
      <c r="P133" s="88"/>
    </row>
    <row r="134" spans="1:16">
      <c r="A134" s="85"/>
      <c r="B134" s="86"/>
      <c r="C134" s="86"/>
      <c r="D134" s="87"/>
      <c r="E134" s="87"/>
      <c r="F134" s="87"/>
      <c r="G134" s="87"/>
      <c r="H134" s="87"/>
      <c r="I134" s="87"/>
      <c r="J134" s="87"/>
      <c r="K134" s="87"/>
      <c r="L134" s="87"/>
      <c r="M134" s="87"/>
      <c r="N134" s="87"/>
      <c r="O134" s="87"/>
      <c r="P134" s="88"/>
    </row>
    <row r="135" spans="1:16">
      <c r="A135" s="85"/>
      <c r="B135" s="86"/>
      <c r="C135" s="86"/>
      <c r="D135" s="87"/>
      <c r="E135" s="87"/>
      <c r="F135" s="87"/>
      <c r="G135" s="87"/>
      <c r="H135" s="87"/>
      <c r="I135" s="87"/>
      <c r="J135" s="87"/>
      <c r="K135" s="87"/>
      <c r="L135" s="87"/>
      <c r="M135" s="87"/>
      <c r="N135" s="87"/>
      <c r="O135" s="87"/>
      <c r="P135" s="88"/>
    </row>
    <row r="136" spans="1:16">
      <c r="A136" s="85"/>
      <c r="B136" s="86"/>
      <c r="C136" s="86"/>
      <c r="D136" s="87"/>
      <c r="E136" s="87"/>
      <c r="F136" s="87"/>
      <c r="G136" s="87"/>
      <c r="H136" s="87"/>
      <c r="I136" s="87"/>
      <c r="J136" s="87"/>
      <c r="K136" s="87"/>
      <c r="L136" s="87"/>
      <c r="M136" s="87"/>
      <c r="N136" s="87"/>
      <c r="O136" s="87"/>
      <c r="P136" s="88"/>
    </row>
    <row r="137" spans="1:16">
      <c r="A137" s="85"/>
      <c r="B137" s="86"/>
      <c r="C137" s="86"/>
      <c r="D137" s="87"/>
      <c r="E137" s="87"/>
      <c r="F137" s="87"/>
      <c r="G137" s="87"/>
      <c r="H137" s="87"/>
      <c r="I137" s="87"/>
      <c r="J137" s="87"/>
      <c r="K137" s="87"/>
      <c r="L137" s="87"/>
      <c r="M137" s="87"/>
      <c r="N137" s="87"/>
      <c r="O137" s="87"/>
      <c r="P137" s="88"/>
    </row>
    <row r="138" spans="1:16">
      <c r="A138" s="85"/>
      <c r="B138" s="86"/>
      <c r="C138" s="86"/>
      <c r="D138" s="87"/>
      <c r="E138" s="87"/>
      <c r="F138" s="87"/>
      <c r="G138" s="87"/>
      <c r="H138" s="87"/>
      <c r="I138" s="87"/>
      <c r="J138" s="87"/>
      <c r="K138" s="87"/>
      <c r="L138" s="87"/>
      <c r="M138" s="87"/>
      <c r="N138" s="87"/>
      <c r="O138" s="87"/>
      <c r="P138" s="88"/>
    </row>
    <row r="139" spans="1:16">
      <c r="A139" s="85"/>
      <c r="B139" s="86"/>
      <c r="C139" s="86"/>
      <c r="D139" s="87"/>
      <c r="E139" s="87"/>
      <c r="F139" s="87"/>
      <c r="G139" s="87"/>
      <c r="H139" s="87"/>
      <c r="I139" s="87"/>
      <c r="J139" s="87"/>
      <c r="K139" s="87"/>
      <c r="L139" s="87"/>
      <c r="M139" s="87"/>
      <c r="N139" s="87"/>
      <c r="O139" s="87"/>
      <c r="P139" s="88"/>
    </row>
    <row r="140" spans="1:16">
      <c r="A140" s="85"/>
      <c r="B140" s="86"/>
      <c r="C140" s="86"/>
      <c r="D140" s="87"/>
      <c r="E140" s="87"/>
      <c r="F140" s="87"/>
      <c r="G140" s="87"/>
      <c r="H140" s="87"/>
      <c r="I140" s="87"/>
      <c r="J140" s="87"/>
      <c r="K140" s="87"/>
      <c r="L140" s="87"/>
      <c r="M140" s="87"/>
      <c r="N140" s="87"/>
      <c r="O140" s="87"/>
      <c r="P140" s="88"/>
    </row>
    <row r="141" spans="1:16">
      <c r="A141" s="85"/>
      <c r="B141" s="86"/>
      <c r="C141" s="86"/>
      <c r="D141" s="87"/>
      <c r="E141" s="87"/>
      <c r="F141" s="87"/>
      <c r="G141" s="87"/>
      <c r="H141" s="87"/>
      <c r="I141" s="87"/>
      <c r="J141" s="87"/>
      <c r="K141" s="87"/>
      <c r="L141" s="87"/>
      <c r="M141" s="87"/>
      <c r="N141" s="87"/>
      <c r="O141" s="87"/>
      <c r="P141" s="88"/>
    </row>
    <row r="142" spans="1:16">
      <c r="A142" s="85"/>
      <c r="B142" s="86"/>
      <c r="C142" s="86"/>
      <c r="D142" s="87"/>
      <c r="E142" s="87"/>
      <c r="F142" s="87"/>
      <c r="G142" s="87"/>
      <c r="H142" s="87"/>
      <c r="I142" s="87"/>
      <c r="J142" s="87"/>
      <c r="K142" s="87"/>
      <c r="L142" s="87"/>
      <c r="M142" s="87"/>
      <c r="N142" s="87"/>
      <c r="O142" s="87"/>
      <c r="P142" s="88"/>
    </row>
    <row r="143" spans="1:16">
      <c r="A143" s="85"/>
      <c r="B143" s="86"/>
      <c r="C143" s="86"/>
      <c r="D143" s="87"/>
      <c r="E143" s="87"/>
      <c r="F143" s="87"/>
      <c r="G143" s="87"/>
      <c r="H143" s="87"/>
      <c r="I143" s="87"/>
      <c r="J143" s="87"/>
      <c r="K143" s="87"/>
      <c r="L143" s="87"/>
      <c r="M143" s="87"/>
      <c r="N143" s="87"/>
      <c r="O143" s="87"/>
      <c r="P143" s="88"/>
    </row>
    <row r="144" spans="1:16">
      <c r="A144" s="85"/>
      <c r="B144" s="86"/>
      <c r="C144" s="86"/>
      <c r="D144" s="87"/>
      <c r="E144" s="87"/>
      <c r="F144" s="87"/>
      <c r="G144" s="87"/>
      <c r="H144" s="87"/>
      <c r="I144" s="87"/>
      <c r="J144" s="87"/>
      <c r="K144" s="87"/>
      <c r="L144" s="87"/>
      <c r="M144" s="87"/>
      <c r="N144" s="87"/>
      <c r="O144" s="87"/>
      <c r="P144" s="88"/>
    </row>
    <row r="145" spans="1:16">
      <c r="A145" s="85"/>
      <c r="B145" s="86"/>
      <c r="C145" s="86"/>
      <c r="D145" s="87"/>
      <c r="E145" s="87"/>
      <c r="F145" s="87"/>
      <c r="G145" s="87"/>
      <c r="H145" s="87"/>
      <c r="I145" s="87"/>
      <c r="J145" s="87"/>
      <c r="K145" s="87"/>
      <c r="L145" s="87"/>
      <c r="M145" s="87"/>
      <c r="N145" s="87"/>
      <c r="O145" s="87"/>
      <c r="P145" s="88"/>
    </row>
    <row r="146" spans="1:16">
      <c r="A146" s="85"/>
      <c r="B146" s="86"/>
      <c r="C146" s="86"/>
      <c r="D146" s="87"/>
      <c r="E146" s="87"/>
      <c r="F146" s="87"/>
      <c r="G146" s="87"/>
      <c r="H146" s="87"/>
      <c r="I146" s="87"/>
      <c r="J146" s="87"/>
      <c r="K146" s="87"/>
      <c r="L146" s="87"/>
      <c r="M146" s="87"/>
      <c r="N146" s="87"/>
      <c r="O146" s="87"/>
      <c r="P146" s="88"/>
    </row>
    <row r="147" spans="1:16">
      <c r="A147" s="85"/>
      <c r="B147" s="86"/>
      <c r="C147" s="86"/>
      <c r="D147" s="87"/>
      <c r="E147" s="87"/>
      <c r="F147" s="87"/>
      <c r="G147" s="87"/>
      <c r="H147" s="87"/>
      <c r="I147" s="87"/>
      <c r="J147" s="87"/>
      <c r="K147" s="87"/>
      <c r="L147" s="87"/>
      <c r="M147" s="87"/>
      <c r="N147" s="87"/>
      <c r="O147" s="87"/>
      <c r="P147" s="88"/>
    </row>
    <row r="148" spans="1:16">
      <c r="A148" s="85"/>
      <c r="B148" s="86"/>
      <c r="C148" s="86"/>
      <c r="D148" s="87"/>
      <c r="E148" s="87"/>
      <c r="F148" s="87"/>
      <c r="G148" s="87"/>
      <c r="H148" s="87"/>
      <c r="I148" s="87"/>
      <c r="J148" s="87"/>
      <c r="K148" s="87"/>
      <c r="L148" s="87"/>
      <c r="M148" s="87"/>
      <c r="N148" s="87"/>
      <c r="O148" s="87"/>
      <c r="P148" s="88"/>
    </row>
    <row r="149" spans="1:16">
      <c r="A149" s="85"/>
      <c r="B149" s="86"/>
      <c r="C149" s="86"/>
      <c r="D149" s="87"/>
      <c r="E149" s="87"/>
      <c r="F149" s="87"/>
      <c r="G149" s="87"/>
      <c r="H149" s="87"/>
      <c r="I149" s="87"/>
      <c r="J149" s="87"/>
      <c r="K149" s="87"/>
      <c r="L149" s="87"/>
      <c r="M149" s="87"/>
      <c r="N149" s="87"/>
      <c r="O149" s="87"/>
      <c r="P149" s="88"/>
    </row>
    <row r="150" spans="1:16">
      <c r="A150" s="85"/>
      <c r="B150" s="86"/>
      <c r="C150" s="86"/>
      <c r="D150" s="87"/>
      <c r="E150" s="87"/>
      <c r="F150" s="87"/>
      <c r="G150" s="87"/>
      <c r="H150" s="87"/>
      <c r="I150" s="87"/>
      <c r="J150" s="87"/>
      <c r="K150" s="87"/>
      <c r="L150" s="87"/>
      <c r="M150" s="87"/>
      <c r="N150" s="87"/>
      <c r="O150" s="87"/>
      <c r="P150" s="88"/>
    </row>
    <row r="151" spans="1:16">
      <c r="A151" s="85"/>
      <c r="B151" s="86"/>
      <c r="C151" s="86"/>
      <c r="D151" s="87"/>
      <c r="E151" s="87"/>
      <c r="F151" s="87"/>
      <c r="G151" s="87"/>
      <c r="H151" s="87"/>
      <c r="I151" s="87"/>
      <c r="J151" s="87"/>
      <c r="K151" s="87"/>
      <c r="L151" s="87"/>
      <c r="M151" s="87"/>
      <c r="N151" s="87"/>
      <c r="O151" s="87"/>
      <c r="P151" s="88"/>
    </row>
    <row r="152" spans="1:16">
      <c r="A152" s="85"/>
      <c r="B152" s="86"/>
      <c r="C152" s="86"/>
      <c r="D152" s="87"/>
      <c r="E152" s="87"/>
      <c r="F152" s="87"/>
      <c r="G152" s="87"/>
      <c r="H152" s="87"/>
      <c r="I152" s="87"/>
      <c r="J152" s="87"/>
      <c r="K152" s="87"/>
      <c r="L152" s="87"/>
      <c r="M152" s="87"/>
      <c r="N152" s="87"/>
      <c r="O152" s="87"/>
      <c r="P152" s="88"/>
    </row>
    <row r="153" spans="1:16">
      <c r="A153" s="85"/>
      <c r="B153" s="86"/>
      <c r="C153" s="86"/>
      <c r="D153" s="87"/>
      <c r="E153" s="87"/>
      <c r="F153" s="87"/>
      <c r="G153" s="87"/>
      <c r="H153" s="87"/>
      <c r="I153" s="87"/>
      <c r="J153" s="87"/>
      <c r="K153" s="87"/>
      <c r="L153" s="87"/>
      <c r="M153" s="87"/>
      <c r="N153" s="87"/>
      <c r="O153" s="87"/>
      <c r="P153" s="88"/>
    </row>
    <row r="154" spans="1:16">
      <c r="A154" s="85"/>
      <c r="B154" s="86"/>
      <c r="C154" s="86"/>
      <c r="D154" s="87"/>
      <c r="E154" s="87"/>
      <c r="F154" s="87"/>
      <c r="G154" s="87"/>
      <c r="H154" s="87"/>
      <c r="I154" s="87"/>
      <c r="J154" s="87"/>
      <c r="K154" s="87"/>
      <c r="L154" s="87"/>
      <c r="M154" s="87"/>
      <c r="N154" s="87"/>
      <c r="O154" s="87"/>
      <c r="P154" s="88"/>
    </row>
    <row r="155" spans="1:16">
      <c r="A155" s="85"/>
      <c r="B155" s="86"/>
      <c r="C155" s="86"/>
      <c r="D155" s="87"/>
      <c r="E155" s="87"/>
      <c r="F155" s="87"/>
      <c r="G155" s="87"/>
      <c r="H155" s="87"/>
      <c r="I155" s="87"/>
      <c r="J155" s="87"/>
      <c r="K155" s="87"/>
      <c r="L155" s="87"/>
      <c r="M155" s="87"/>
      <c r="N155" s="87"/>
      <c r="O155" s="87"/>
      <c r="P155" s="88"/>
    </row>
    <row r="156" spans="1:16">
      <c r="A156" s="85"/>
      <c r="B156" s="86"/>
      <c r="C156" s="86"/>
      <c r="D156" s="87"/>
      <c r="E156" s="87"/>
      <c r="F156" s="87"/>
      <c r="G156" s="87"/>
      <c r="H156" s="87"/>
      <c r="I156" s="87"/>
      <c r="J156" s="87"/>
      <c r="K156" s="87"/>
      <c r="L156" s="87"/>
      <c r="M156" s="87"/>
      <c r="N156" s="87"/>
      <c r="O156" s="87"/>
      <c r="P156" s="88"/>
    </row>
    <row r="157" spans="1:16">
      <c r="A157" s="85"/>
      <c r="B157" s="86"/>
      <c r="C157" s="86"/>
      <c r="D157" s="87"/>
      <c r="E157" s="87"/>
      <c r="F157" s="87"/>
      <c r="G157" s="87"/>
      <c r="H157" s="87"/>
      <c r="I157" s="87"/>
      <c r="J157" s="87"/>
      <c r="K157" s="87"/>
      <c r="L157" s="87"/>
      <c r="M157" s="87"/>
      <c r="N157" s="87"/>
      <c r="O157" s="87"/>
      <c r="P157" s="88"/>
    </row>
    <row r="158" spans="1:16">
      <c r="A158" s="85"/>
      <c r="B158" s="86"/>
      <c r="C158" s="86"/>
      <c r="D158" s="87"/>
      <c r="E158" s="87"/>
      <c r="F158" s="87"/>
      <c r="G158" s="87"/>
      <c r="H158" s="87"/>
      <c r="I158" s="87"/>
      <c r="J158" s="87"/>
      <c r="K158" s="87"/>
      <c r="L158" s="87"/>
      <c r="M158" s="87"/>
      <c r="N158" s="87"/>
      <c r="O158" s="87"/>
      <c r="P158" s="88"/>
    </row>
    <row r="159" spans="1:16">
      <c r="A159" s="85"/>
      <c r="B159" s="86"/>
      <c r="C159" s="86"/>
      <c r="D159" s="87"/>
      <c r="E159" s="87"/>
      <c r="F159" s="87"/>
      <c r="G159" s="87"/>
      <c r="H159" s="87"/>
      <c r="I159" s="87"/>
      <c r="J159" s="87"/>
      <c r="K159" s="87"/>
      <c r="L159" s="87"/>
      <c r="M159" s="87"/>
      <c r="N159" s="87"/>
      <c r="O159" s="87"/>
      <c r="P159" s="88"/>
    </row>
    <row r="160" spans="1:16">
      <c r="A160" s="85"/>
      <c r="B160" s="86"/>
      <c r="C160" s="86"/>
      <c r="D160" s="87"/>
      <c r="E160" s="87"/>
      <c r="F160" s="87"/>
      <c r="G160" s="87"/>
      <c r="H160" s="87"/>
      <c r="I160" s="87"/>
      <c r="J160" s="87"/>
      <c r="K160" s="87"/>
      <c r="L160" s="87"/>
      <c r="M160" s="87"/>
      <c r="N160" s="87"/>
      <c r="O160" s="87"/>
      <c r="P160" s="88"/>
    </row>
    <row r="161" spans="1:16">
      <c r="A161" s="85"/>
      <c r="B161" s="86"/>
      <c r="C161" s="86"/>
      <c r="D161" s="87"/>
      <c r="E161" s="87"/>
      <c r="F161" s="87"/>
      <c r="G161" s="87"/>
      <c r="H161" s="87"/>
      <c r="I161" s="87"/>
      <c r="J161" s="87"/>
      <c r="K161" s="87"/>
      <c r="L161" s="87"/>
      <c r="M161" s="87"/>
      <c r="N161" s="87"/>
      <c r="O161" s="87"/>
      <c r="P161" s="88"/>
    </row>
    <row r="162" spans="1:16">
      <c r="A162" s="85"/>
      <c r="B162" s="86"/>
      <c r="C162" s="86"/>
      <c r="D162" s="87"/>
      <c r="E162" s="87"/>
      <c r="F162" s="87"/>
      <c r="G162" s="87"/>
      <c r="H162" s="87"/>
      <c r="I162" s="87"/>
      <c r="J162" s="87"/>
      <c r="K162" s="87"/>
      <c r="L162" s="87"/>
      <c r="M162" s="87"/>
      <c r="N162" s="87"/>
      <c r="O162" s="87"/>
      <c r="P162" s="88"/>
    </row>
    <row r="163" spans="1:16">
      <c r="A163" s="85"/>
      <c r="B163" s="86"/>
      <c r="C163" s="86"/>
      <c r="D163" s="87"/>
      <c r="E163" s="87"/>
      <c r="F163" s="87"/>
      <c r="G163" s="87"/>
      <c r="H163" s="87"/>
      <c r="I163" s="87"/>
      <c r="J163" s="87"/>
      <c r="K163" s="87"/>
      <c r="L163" s="87"/>
      <c r="M163" s="87"/>
      <c r="N163" s="87"/>
      <c r="O163" s="87"/>
      <c r="P163" s="88"/>
    </row>
    <row r="164" spans="1:16">
      <c r="A164" s="85"/>
      <c r="B164" s="86"/>
      <c r="C164" s="86"/>
      <c r="D164" s="87"/>
      <c r="E164" s="87"/>
      <c r="F164" s="87"/>
      <c r="G164" s="87"/>
      <c r="H164" s="87"/>
      <c r="I164" s="87"/>
      <c r="J164" s="87"/>
      <c r="K164" s="87"/>
      <c r="L164" s="87"/>
      <c r="M164" s="87"/>
      <c r="N164" s="87"/>
      <c r="O164" s="87"/>
      <c r="P164" s="88"/>
    </row>
    <row r="165" spans="1:16">
      <c r="A165" s="85"/>
      <c r="B165" s="86"/>
      <c r="C165" s="86"/>
      <c r="D165" s="87"/>
      <c r="E165" s="87"/>
      <c r="F165" s="87"/>
      <c r="G165" s="87"/>
      <c r="H165" s="87"/>
      <c r="I165" s="87"/>
      <c r="J165" s="87"/>
      <c r="K165" s="87"/>
      <c r="L165" s="87"/>
      <c r="M165" s="87"/>
      <c r="N165" s="87"/>
      <c r="O165" s="87"/>
      <c r="P165" s="88"/>
    </row>
    <row r="166" spans="1:16">
      <c r="A166" s="85"/>
      <c r="B166" s="86"/>
      <c r="C166" s="86"/>
      <c r="D166" s="87"/>
      <c r="E166" s="87"/>
      <c r="F166" s="87"/>
      <c r="G166" s="87"/>
      <c r="H166" s="87"/>
      <c r="I166" s="87"/>
      <c r="J166" s="87"/>
      <c r="K166" s="87"/>
      <c r="L166" s="87"/>
      <c r="M166" s="87"/>
      <c r="N166" s="87"/>
      <c r="O166" s="87"/>
      <c r="P166" s="88"/>
    </row>
    <row r="167" spans="1:16">
      <c r="A167" s="85"/>
      <c r="B167" s="86"/>
      <c r="C167" s="86"/>
      <c r="D167" s="87"/>
      <c r="E167" s="87"/>
      <c r="F167" s="87"/>
      <c r="G167" s="87"/>
      <c r="H167" s="87"/>
      <c r="I167" s="87"/>
      <c r="J167" s="87"/>
      <c r="K167" s="87"/>
      <c r="L167" s="87"/>
      <c r="M167" s="87"/>
      <c r="N167" s="87"/>
      <c r="O167" s="87"/>
      <c r="P167" s="88"/>
    </row>
    <row r="168" spans="1:16">
      <c r="A168" s="85"/>
      <c r="B168" s="86"/>
      <c r="C168" s="86"/>
      <c r="D168" s="87"/>
      <c r="E168" s="87"/>
      <c r="F168" s="87"/>
      <c r="G168" s="87"/>
      <c r="H168" s="87"/>
      <c r="I168" s="87"/>
      <c r="J168" s="87"/>
      <c r="K168" s="87"/>
      <c r="L168" s="87"/>
      <c r="M168" s="87"/>
      <c r="N168" s="87"/>
      <c r="O168" s="87"/>
      <c r="P168" s="88"/>
    </row>
    <row r="169" spans="1:16">
      <c r="A169" s="85"/>
      <c r="B169" s="86"/>
      <c r="C169" s="86"/>
      <c r="D169" s="87"/>
      <c r="E169" s="87"/>
      <c r="F169" s="87"/>
      <c r="G169" s="87"/>
      <c r="H169" s="87"/>
      <c r="I169" s="87"/>
      <c r="J169" s="87"/>
      <c r="K169" s="87"/>
      <c r="L169" s="87"/>
      <c r="M169" s="87"/>
      <c r="N169" s="87"/>
      <c r="O169" s="87"/>
      <c r="P169" s="88"/>
    </row>
    <row r="170" spans="1:16">
      <c r="A170" s="85"/>
      <c r="B170" s="86"/>
      <c r="C170" s="86"/>
      <c r="D170" s="87"/>
      <c r="E170" s="87"/>
      <c r="F170" s="87"/>
      <c r="G170" s="87"/>
      <c r="H170" s="87"/>
      <c r="I170" s="87"/>
      <c r="J170" s="87"/>
      <c r="K170" s="87"/>
      <c r="L170" s="87"/>
      <c r="M170" s="87"/>
      <c r="N170" s="87"/>
      <c r="O170" s="87"/>
      <c r="P170" s="88"/>
    </row>
    <row r="171" spans="1:16">
      <c r="A171" s="85"/>
      <c r="B171" s="86"/>
      <c r="C171" s="86"/>
      <c r="D171" s="87"/>
      <c r="E171" s="87"/>
      <c r="F171" s="87"/>
      <c r="G171" s="87"/>
      <c r="H171" s="87"/>
      <c r="I171" s="87"/>
      <c r="J171" s="87"/>
      <c r="K171" s="87"/>
      <c r="L171" s="87"/>
      <c r="M171" s="87"/>
      <c r="N171" s="87"/>
      <c r="O171" s="87"/>
      <c r="P171" s="88"/>
    </row>
    <row r="172" spans="1:16">
      <c r="A172" s="85"/>
      <c r="B172" s="86"/>
      <c r="C172" s="86"/>
      <c r="D172" s="87"/>
      <c r="E172" s="87"/>
      <c r="F172" s="87"/>
      <c r="G172" s="87"/>
      <c r="H172" s="87"/>
      <c r="I172" s="87"/>
      <c r="J172" s="87"/>
      <c r="K172" s="87"/>
      <c r="L172" s="87"/>
      <c r="M172" s="87"/>
      <c r="N172" s="87"/>
      <c r="O172" s="87"/>
      <c r="P172" s="88"/>
    </row>
    <row r="173" spans="1:16">
      <c r="A173" s="85"/>
      <c r="B173" s="86"/>
      <c r="C173" s="86"/>
      <c r="D173" s="87"/>
      <c r="E173" s="87"/>
      <c r="F173" s="87"/>
      <c r="G173" s="87"/>
      <c r="H173" s="87"/>
      <c r="I173" s="87"/>
      <c r="J173" s="87"/>
      <c r="K173" s="87"/>
      <c r="L173" s="87"/>
      <c r="M173" s="87"/>
      <c r="N173" s="87"/>
      <c r="O173" s="87"/>
      <c r="P173" s="88"/>
    </row>
    <row r="174" spans="1:16">
      <c r="A174" s="85"/>
      <c r="B174" s="86"/>
      <c r="C174" s="86"/>
      <c r="D174" s="87"/>
      <c r="E174" s="87"/>
      <c r="F174" s="87"/>
      <c r="G174" s="87"/>
      <c r="H174" s="87"/>
      <c r="I174" s="87"/>
      <c r="J174" s="87"/>
      <c r="K174" s="87"/>
      <c r="L174" s="87"/>
      <c r="M174" s="87"/>
      <c r="N174" s="87"/>
      <c r="O174" s="87"/>
      <c r="P174" s="88"/>
    </row>
    <row r="175" spans="1:16">
      <c r="A175" s="85"/>
      <c r="B175" s="86"/>
      <c r="C175" s="86"/>
      <c r="D175" s="87"/>
      <c r="E175" s="87"/>
      <c r="F175" s="87"/>
      <c r="G175" s="87"/>
      <c r="H175" s="87"/>
      <c r="I175" s="87"/>
      <c r="J175" s="87"/>
      <c r="K175" s="87"/>
      <c r="L175" s="87"/>
      <c r="M175" s="87"/>
      <c r="N175" s="87"/>
      <c r="O175" s="87"/>
      <c r="P175" s="88"/>
    </row>
    <row r="176" spans="1:16">
      <c r="A176" s="85"/>
      <c r="B176" s="86"/>
      <c r="C176" s="86"/>
      <c r="D176" s="87"/>
      <c r="E176" s="87"/>
      <c r="F176" s="87"/>
      <c r="G176" s="87"/>
      <c r="H176" s="87"/>
      <c r="I176" s="87"/>
      <c r="J176" s="87"/>
      <c r="K176" s="87"/>
      <c r="L176" s="87"/>
      <c r="M176" s="87"/>
      <c r="N176" s="87"/>
      <c r="O176" s="87"/>
      <c r="P176" s="88"/>
    </row>
    <row r="177" spans="1:16">
      <c r="A177" s="85"/>
      <c r="B177" s="86"/>
      <c r="C177" s="86"/>
      <c r="D177" s="87"/>
      <c r="E177" s="87"/>
      <c r="F177" s="87"/>
      <c r="G177" s="87"/>
      <c r="H177" s="87"/>
      <c r="I177" s="87"/>
      <c r="J177" s="87"/>
      <c r="K177" s="87"/>
      <c r="L177" s="87"/>
      <c r="M177" s="87"/>
      <c r="N177" s="87"/>
      <c r="O177" s="87"/>
      <c r="P177" s="88"/>
    </row>
    <row r="178" spans="1:16">
      <c r="A178" s="85"/>
      <c r="B178" s="86"/>
      <c r="C178" s="86"/>
      <c r="D178" s="87"/>
      <c r="E178" s="87"/>
      <c r="F178" s="87"/>
      <c r="G178" s="87"/>
      <c r="H178" s="87"/>
      <c r="I178" s="87"/>
      <c r="J178" s="87"/>
      <c r="K178" s="87"/>
      <c r="L178" s="87"/>
      <c r="M178" s="87"/>
      <c r="N178" s="87"/>
      <c r="O178" s="87"/>
      <c r="P178" s="88"/>
    </row>
    <row r="179" spans="1:16">
      <c r="A179" s="85"/>
      <c r="B179" s="86"/>
      <c r="C179" s="86"/>
      <c r="D179" s="87"/>
      <c r="E179" s="87"/>
      <c r="F179" s="87"/>
      <c r="G179" s="87"/>
      <c r="H179" s="87"/>
      <c r="I179" s="87"/>
      <c r="J179" s="87"/>
      <c r="K179" s="87"/>
      <c r="L179" s="87"/>
      <c r="M179" s="87"/>
      <c r="N179" s="87"/>
      <c r="O179" s="87"/>
      <c r="P179" s="88"/>
    </row>
    <row r="180" spans="1:16">
      <c r="A180" s="85"/>
      <c r="B180" s="86"/>
      <c r="C180" s="86"/>
      <c r="D180" s="87"/>
      <c r="E180" s="87"/>
      <c r="F180" s="87"/>
      <c r="G180" s="87"/>
      <c r="H180" s="87"/>
      <c r="I180" s="87"/>
      <c r="J180" s="87"/>
      <c r="K180" s="87"/>
      <c r="L180" s="87"/>
      <c r="M180" s="87"/>
      <c r="N180" s="87"/>
      <c r="O180" s="87"/>
      <c r="P180" s="88"/>
    </row>
    <row r="181" spans="1:16">
      <c r="A181" s="85"/>
      <c r="B181" s="86"/>
      <c r="C181" s="86"/>
      <c r="D181" s="87"/>
      <c r="E181" s="87"/>
      <c r="F181" s="87"/>
      <c r="G181" s="87"/>
      <c r="H181" s="87"/>
      <c r="I181" s="87"/>
      <c r="J181" s="87"/>
      <c r="K181" s="87"/>
      <c r="L181" s="87"/>
      <c r="M181" s="87"/>
      <c r="N181" s="87"/>
      <c r="O181" s="87"/>
      <c r="P181" s="88"/>
    </row>
    <row r="182" spans="1:16">
      <c r="A182" s="85"/>
      <c r="B182" s="86"/>
      <c r="C182" s="86"/>
      <c r="D182" s="87"/>
      <c r="E182" s="87"/>
      <c r="F182" s="87"/>
      <c r="G182" s="87"/>
      <c r="H182" s="87"/>
      <c r="I182" s="87"/>
      <c r="J182" s="87"/>
      <c r="K182" s="87"/>
      <c r="L182" s="87"/>
      <c r="M182" s="87"/>
      <c r="N182" s="87"/>
      <c r="O182" s="87"/>
      <c r="P182" s="88"/>
    </row>
    <row r="183" spans="1:16">
      <c r="A183" s="85"/>
      <c r="B183" s="86"/>
      <c r="C183" s="86"/>
      <c r="D183" s="87"/>
      <c r="E183" s="87"/>
      <c r="F183" s="87"/>
      <c r="G183" s="87"/>
      <c r="H183" s="87"/>
      <c r="I183" s="87"/>
      <c r="J183" s="87"/>
      <c r="K183" s="87"/>
      <c r="L183" s="87"/>
      <c r="M183" s="87"/>
      <c r="N183" s="87"/>
      <c r="O183" s="87"/>
      <c r="P183" s="88"/>
    </row>
    <row r="184" spans="1:16">
      <c r="A184" s="85"/>
      <c r="B184" s="86"/>
      <c r="C184" s="86"/>
      <c r="D184" s="87"/>
      <c r="E184" s="87"/>
      <c r="F184" s="87"/>
      <c r="G184" s="87"/>
      <c r="H184" s="87"/>
      <c r="I184" s="87"/>
      <c r="J184" s="87"/>
      <c r="K184" s="87"/>
      <c r="L184" s="87"/>
      <c r="M184" s="87"/>
      <c r="N184" s="87"/>
      <c r="O184" s="87"/>
      <c r="P184" s="88"/>
    </row>
    <row r="185" spans="1:16">
      <c r="A185" s="85"/>
      <c r="B185" s="86"/>
      <c r="C185" s="86"/>
      <c r="D185" s="87"/>
      <c r="E185" s="87"/>
      <c r="F185" s="87"/>
      <c r="G185" s="87"/>
      <c r="H185" s="87"/>
      <c r="I185" s="87"/>
      <c r="J185" s="87"/>
      <c r="K185" s="87"/>
      <c r="L185" s="87"/>
      <c r="M185" s="87"/>
      <c r="N185" s="87"/>
      <c r="O185" s="87"/>
      <c r="P185" s="88"/>
    </row>
    <row r="186" spans="1:16">
      <c r="A186" s="85"/>
      <c r="B186" s="86"/>
      <c r="C186" s="86"/>
      <c r="D186" s="87"/>
      <c r="E186" s="87"/>
      <c r="F186" s="87"/>
      <c r="G186" s="87"/>
      <c r="H186" s="87"/>
      <c r="I186" s="87"/>
      <c r="J186" s="87"/>
      <c r="K186" s="87"/>
      <c r="L186" s="87"/>
      <c r="M186" s="87"/>
      <c r="N186" s="87"/>
      <c r="O186" s="87"/>
      <c r="P186" s="88"/>
    </row>
    <row r="187" spans="1:16">
      <c r="A187" s="85"/>
      <c r="B187" s="86"/>
      <c r="C187" s="86"/>
      <c r="D187" s="87"/>
      <c r="E187" s="87"/>
      <c r="F187" s="87"/>
      <c r="G187" s="87"/>
      <c r="H187" s="87"/>
      <c r="I187" s="87"/>
      <c r="J187" s="87"/>
      <c r="K187" s="87"/>
      <c r="L187" s="87"/>
      <c r="M187" s="87"/>
      <c r="N187" s="87"/>
      <c r="O187" s="87"/>
      <c r="P187" s="88"/>
    </row>
    <row r="188" spans="1:16">
      <c r="A188" s="85"/>
      <c r="B188" s="86"/>
      <c r="C188" s="86"/>
      <c r="D188" s="87"/>
      <c r="E188" s="87"/>
      <c r="F188" s="87"/>
      <c r="G188" s="87"/>
      <c r="H188" s="87"/>
      <c r="I188" s="87"/>
      <c r="J188" s="87"/>
      <c r="K188" s="87"/>
      <c r="L188" s="87"/>
      <c r="M188" s="87"/>
      <c r="N188" s="87"/>
      <c r="O188" s="87"/>
      <c r="P188" s="88"/>
    </row>
    <row r="189" spans="1:16">
      <c r="A189" s="85"/>
      <c r="B189" s="86"/>
      <c r="C189" s="86"/>
      <c r="D189" s="87"/>
      <c r="E189" s="87"/>
      <c r="F189" s="87"/>
      <c r="G189" s="87"/>
      <c r="H189" s="87"/>
      <c r="I189" s="87"/>
      <c r="J189" s="87"/>
      <c r="K189" s="87"/>
      <c r="L189" s="87"/>
      <c r="M189" s="87"/>
      <c r="N189" s="87"/>
      <c r="O189" s="87"/>
      <c r="P189" s="88"/>
    </row>
    <row r="190" spans="1:16">
      <c r="A190" s="85"/>
      <c r="B190" s="86"/>
      <c r="C190" s="86"/>
      <c r="D190" s="87"/>
      <c r="E190" s="87"/>
      <c r="F190" s="87"/>
      <c r="G190" s="87"/>
      <c r="H190" s="87"/>
      <c r="I190" s="87"/>
      <c r="J190" s="87"/>
      <c r="K190" s="87"/>
      <c r="L190" s="87"/>
      <c r="M190" s="87"/>
      <c r="N190" s="87"/>
      <c r="O190" s="87"/>
      <c r="P190" s="88"/>
    </row>
    <row r="191" spans="1:16">
      <c r="A191" s="85"/>
      <c r="B191" s="86"/>
      <c r="C191" s="86"/>
      <c r="D191" s="87"/>
      <c r="E191" s="87"/>
      <c r="F191" s="87"/>
      <c r="G191" s="87"/>
      <c r="H191" s="87"/>
      <c r="I191" s="87"/>
      <c r="J191" s="87"/>
      <c r="K191" s="87"/>
      <c r="L191" s="87"/>
      <c r="M191" s="87"/>
      <c r="N191" s="87"/>
      <c r="O191" s="87"/>
      <c r="P191" s="88"/>
    </row>
    <row r="192" spans="1:16">
      <c r="A192" s="85"/>
      <c r="B192" s="86"/>
      <c r="C192" s="86"/>
      <c r="D192" s="87"/>
      <c r="E192" s="87"/>
      <c r="F192" s="87"/>
      <c r="G192" s="87"/>
      <c r="H192" s="87"/>
      <c r="I192" s="87"/>
      <c r="J192" s="87"/>
      <c r="K192" s="87"/>
      <c r="L192" s="87"/>
      <c r="M192" s="87"/>
      <c r="N192" s="87"/>
      <c r="O192" s="87"/>
      <c r="P192" s="88"/>
    </row>
    <row r="193" spans="1:16">
      <c r="A193" s="85"/>
      <c r="B193" s="86"/>
      <c r="C193" s="86"/>
      <c r="D193" s="87"/>
      <c r="E193" s="87"/>
      <c r="F193" s="87"/>
      <c r="G193" s="87"/>
      <c r="H193" s="87"/>
      <c r="I193" s="87"/>
      <c r="J193" s="87"/>
      <c r="K193" s="87"/>
      <c r="L193" s="87"/>
      <c r="M193" s="87"/>
      <c r="N193" s="87"/>
      <c r="O193" s="87"/>
      <c r="P193" s="88"/>
    </row>
    <row r="194" spans="1:16">
      <c r="A194" s="85"/>
      <c r="B194" s="86"/>
      <c r="C194" s="86"/>
      <c r="D194" s="87"/>
      <c r="E194" s="87"/>
      <c r="F194" s="87"/>
      <c r="G194" s="87"/>
      <c r="H194" s="87"/>
      <c r="I194" s="87"/>
      <c r="J194" s="87"/>
      <c r="K194" s="87"/>
      <c r="L194" s="87"/>
      <c r="M194" s="87"/>
      <c r="N194" s="87"/>
      <c r="O194" s="87"/>
      <c r="P194" s="88"/>
    </row>
    <row r="195" spans="1:16">
      <c r="A195" s="85"/>
      <c r="B195" s="86"/>
      <c r="C195" s="86"/>
      <c r="D195" s="87"/>
      <c r="E195" s="87"/>
      <c r="F195" s="87"/>
      <c r="G195" s="87"/>
      <c r="H195" s="87"/>
      <c r="I195" s="87"/>
      <c r="J195" s="87"/>
      <c r="K195" s="87"/>
      <c r="L195" s="87"/>
      <c r="M195" s="87"/>
      <c r="N195" s="87"/>
      <c r="O195" s="87"/>
      <c r="P195" s="88"/>
    </row>
    <row r="196" spans="1:16">
      <c r="A196" s="85"/>
      <c r="B196" s="86"/>
      <c r="C196" s="86"/>
      <c r="D196" s="87"/>
      <c r="E196" s="87"/>
      <c r="F196" s="87"/>
      <c r="G196" s="87"/>
      <c r="H196" s="87"/>
      <c r="I196" s="87"/>
      <c r="J196" s="87"/>
      <c r="K196" s="87"/>
      <c r="L196" s="87"/>
      <c r="M196" s="87"/>
      <c r="N196" s="87"/>
      <c r="O196" s="87"/>
      <c r="P196" s="88"/>
    </row>
    <row r="197" spans="1:16">
      <c r="A197" s="85"/>
      <c r="B197" s="86"/>
      <c r="C197" s="86"/>
      <c r="D197" s="87"/>
      <c r="E197" s="87"/>
      <c r="F197" s="87"/>
      <c r="G197" s="87"/>
      <c r="H197" s="87"/>
      <c r="I197" s="87"/>
      <c r="J197" s="87"/>
      <c r="K197" s="87"/>
      <c r="L197" s="87"/>
      <c r="M197" s="87"/>
      <c r="N197" s="87"/>
      <c r="O197" s="87"/>
      <c r="P197" s="88"/>
    </row>
    <row r="198" spans="1:16">
      <c r="A198" s="85"/>
      <c r="B198" s="86"/>
      <c r="C198" s="86"/>
      <c r="D198" s="87"/>
      <c r="E198" s="87"/>
      <c r="F198" s="87"/>
      <c r="G198" s="87"/>
      <c r="H198" s="87"/>
      <c r="I198" s="87"/>
      <c r="J198" s="87"/>
      <c r="K198" s="87"/>
      <c r="L198" s="87"/>
      <c r="M198" s="87"/>
      <c r="N198" s="87"/>
      <c r="O198" s="87"/>
      <c r="P198" s="88"/>
    </row>
    <row r="199" spans="1:16">
      <c r="A199" s="85"/>
      <c r="B199" s="86"/>
      <c r="C199" s="86"/>
      <c r="D199" s="87"/>
      <c r="E199" s="87"/>
      <c r="F199" s="87"/>
      <c r="G199" s="87"/>
      <c r="H199" s="87"/>
      <c r="I199" s="87"/>
      <c r="J199" s="87"/>
      <c r="K199" s="87"/>
      <c r="L199" s="87"/>
      <c r="M199" s="87"/>
      <c r="N199" s="87"/>
      <c r="O199" s="87"/>
      <c r="P199" s="88"/>
    </row>
    <row r="200" spans="1:16">
      <c r="A200" s="85"/>
      <c r="B200" s="86"/>
      <c r="C200" s="86"/>
      <c r="D200" s="87"/>
      <c r="E200" s="87"/>
      <c r="F200" s="87"/>
      <c r="G200" s="87"/>
      <c r="H200" s="87"/>
      <c r="I200" s="87"/>
      <c r="J200" s="87"/>
      <c r="K200" s="87"/>
      <c r="L200" s="87"/>
      <c r="M200" s="87"/>
      <c r="N200" s="87"/>
      <c r="O200" s="87"/>
      <c r="P200" s="88"/>
    </row>
    <row r="201" spans="1:16">
      <c r="A201" s="85"/>
      <c r="B201" s="86"/>
      <c r="C201" s="86"/>
      <c r="D201" s="87"/>
      <c r="E201" s="87"/>
      <c r="F201" s="87"/>
      <c r="G201" s="87"/>
      <c r="H201" s="87"/>
      <c r="I201" s="87"/>
      <c r="J201" s="87"/>
      <c r="K201" s="87"/>
      <c r="L201" s="87"/>
      <c r="M201" s="87"/>
      <c r="N201" s="87"/>
      <c r="O201" s="87"/>
      <c r="P201" s="88"/>
    </row>
    <row r="202" spans="1:16">
      <c r="A202" s="85"/>
      <c r="B202" s="86"/>
      <c r="C202" s="86"/>
      <c r="D202" s="87"/>
      <c r="E202" s="87"/>
      <c r="F202" s="87"/>
      <c r="G202" s="87"/>
      <c r="H202" s="87"/>
      <c r="I202" s="87"/>
      <c r="J202" s="87"/>
      <c r="K202" s="87"/>
      <c r="L202" s="87"/>
      <c r="M202" s="87"/>
      <c r="N202" s="87"/>
      <c r="O202" s="87"/>
      <c r="P202" s="88"/>
    </row>
    <row r="203" spans="1:16">
      <c r="A203" s="85"/>
      <c r="B203" s="86"/>
      <c r="C203" s="86"/>
      <c r="D203" s="87"/>
      <c r="E203" s="87"/>
      <c r="F203" s="87"/>
      <c r="G203" s="87"/>
      <c r="H203" s="87"/>
      <c r="I203" s="87"/>
      <c r="J203" s="87"/>
      <c r="K203" s="87"/>
      <c r="L203" s="87"/>
      <c r="M203" s="87"/>
      <c r="N203" s="87"/>
      <c r="O203" s="87"/>
      <c r="P203" s="88"/>
    </row>
    <row r="204" spans="1:16">
      <c r="A204" s="85"/>
      <c r="B204" s="86"/>
      <c r="C204" s="86"/>
      <c r="D204" s="87"/>
      <c r="E204" s="87"/>
      <c r="F204" s="87"/>
      <c r="G204" s="87"/>
      <c r="H204" s="87"/>
      <c r="I204" s="87"/>
      <c r="J204" s="87"/>
      <c r="K204" s="87"/>
      <c r="L204" s="87"/>
      <c r="M204" s="87"/>
      <c r="N204" s="87"/>
      <c r="O204" s="87"/>
      <c r="P204" s="88"/>
    </row>
    <row r="205" spans="1:16">
      <c r="A205" s="85"/>
      <c r="B205" s="86"/>
      <c r="C205" s="86"/>
      <c r="D205" s="87"/>
      <c r="E205" s="87"/>
      <c r="F205" s="87"/>
      <c r="G205" s="87"/>
      <c r="H205" s="87"/>
      <c r="I205" s="87"/>
      <c r="J205" s="87"/>
      <c r="K205" s="87"/>
      <c r="L205" s="87"/>
      <c r="M205" s="87"/>
      <c r="N205" s="87"/>
      <c r="O205" s="87"/>
      <c r="P205" s="88"/>
    </row>
    <row r="206" spans="1:16">
      <c r="A206" s="85"/>
      <c r="B206" s="86"/>
      <c r="C206" s="86"/>
      <c r="D206" s="87"/>
      <c r="E206" s="87"/>
      <c r="F206" s="87"/>
      <c r="G206" s="87"/>
      <c r="H206" s="87"/>
      <c r="I206" s="87"/>
      <c r="J206" s="87"/>
      <c r="K206" s="87"/>
      <c r="L206" s="87"/>
      <c r="M206" s="87"/>
      <c r="N206" s="87"/>
      <c r="O206" s="87"/>
      <c r="P206" s="88"/>
    </row>
    <row r="207" spans="1:16">
      <c r="A207" s="85"/>
      <c r="B207" s="86"/>
      <c r="C207" s="86"/>
      <c r="D207" s="87"/>
      <c r="E207" s="87"/>
      <c r="F207" s="87"/>
      <c r="G207" s="87"/>
      <c r="H207" s="87"/>
      <c r="I207" s="87"/>
      <c r="J207" s="87"/>
      <c r="K207" s="87"/>
      <c r="L207" s="87"/>
      <c r="M207" s="87"/>
      <c r="N207" s="87"/>
      <c r="O207" s="87"/>
      <c r="P207" s="88"/>
    </row>
    <row r="208" spans="1:16">
      <c r="A208" s="85"/>
      <c r="B208" s="86"/>
      <c r="C208" s="86"/>
      <c r="D208" s="87"/>
      <c r="E208" s="87"/>
      <c r="F208" s="87"/>
      <c r="G208" s="87"/>
      <c r="H208" s="87"/>
      <c r="I208" s="87"/>
      <c r="J208" s="87"/>
      <c r="K208" s="87"/>
      <c r="L208" s="87"/>
      <c r="M208" s="87"/>
      <c r="N208" s="87"/>
      <c r="O208" s="87"/>
      <c r="P208" s="88"/>
    </row>
    <row r="209" spans="1:16">
      <c r="A209" s="85"/>
      <c r="B209" s="86"/>
      <c r="C209" s="86"/>
      <c r="D209" s="87"/>
      <c r="E209" s="87"/>
      <c r="F209" s="87"/>
      <c r="G209" s="87"/>
      <c r="H209" s="87"/>
      <c r="I209" s="87"/>
      <c r="J209" s="87"/>
      <c r="K209" s="87"/>
      <c r="L209" s="87"/>
      <c r="M209" s="87"/>
      <c r="N209" s="87"/>
      <c r="O209" s="87"/>
      <c r="P209" s="88"/>
    </row>
    <row r="210" spans="1:16">
      <c r="A210" s="85"/>
      <c r="B210" s="86"/>
      <c r="C210" s="86"/>
      <c r="D210" s="87"/>
      <c r="E210" s="87"/>
      <c r="F210" s="87"/>
      <c r="G210" s="87"/>
      <c r="H210" s="87"/>
      <c r="I210" s="87"/>
      <c r="J210" s="87"/>
      <c r="K210" s="87"/>
      <c r="L210" s="87"/>
      <c r="M210" s="87"/>
      <c r="N210" s="87"/>
      <c r="O210" s="87"/>
      <c r="P210" s="88"/>
    </row>
    <row r="211" spans="1:16">
      <c r="A211" s="85"/>
      <c r="B211" s="86"/>
      <c r="C211" s="86"/>
      <c r="D211" s="87"/>
      <c r="E211" s="87"/>
      <c r="F211" s="87"/>
      <c r="G211" s="87"/>
      <c r="H211" s="87"/>
      <c r="I211" s="87"/>
      <c r="J211" s="87"/>
      <c r="K211" s="87"/>
      <c r="L211" s="87"/>
      <c r="M211" s="87"/>
      <c r="N211" s="87"/>
      <c r="O211" s="87"/>
      <c r="P211" s="88"/>
    </row>
    <row r="212" spans="1:16">
      <c r="A212" s="85"/>
      <c r="B212" s="86"/>
      <c r="C212" s="86"/>
      <c r="D212" s="87"/>
      <c r="E212" s="87"/>
      <c r="F212" s="87"/>
      <c r="G212" s="87"/>
      <c r="H212" s="87"/>
      <c r="I212" s="87"/>
      <c r="J212" s="87"/>
      <c r="K212" s="87"/>
      <c r="L212" s="87"/>
      <c r="M212" s="87"/>
      <c r="N212" s="87"/>
      <c r="O212" s="87"/>
      <c r="P212" s="88"/>
    </row>
    <row r="213" spans="1:16">
      <c r="A213" s="85"/>
      <c r="B213" s="86"/>
      <c r="C213" s="86"/>
      <c r="D213" s="87"/>
      <c r="E213" s="87"/>
      <c r="F213" s="87"/>
      <c r="G213" s="87"/>
      <c r="H213" s="87"/>
      <c r="I213" s="87"/>
      <c r="J213" s="87"/>
      <c r="K213" s="87"/>
      <c r="L213" s="87"/>
      <c r="M213" s="87"/>
      <c r="N213" s="87"/>
      <c r="O213" s="87"/>
      <c r="P213" s="88"/>
    </row>
    <row r="214" spans="1:16">
      <c r="A214" s="85"/>
      <c r="B214" s="86"/>
      <c r="C214" s="86"/>
      <c r="D214" s="87"/>
      <c r="E214" s="87"/>
      <c r="F214" s="87"/>
      <c r="G214" s="87"/>
      <c r="H214" s="87"/>
      <c r="I214" s="87"/>
      <c r="J214" s="87"/>
      <c r="K214" s="87"/>
      <c r="L214" s="87"/>
      <c r="M214" s="87"/>
      <c r="N214" s="87"/>
      <c r="O214" s="87"/>
      <c r="P214" s="88"/>
    </row>
    <row r="215" spans="1:16">
      <c r="A215" s="85"/>
      <c r="B215" s="86"/>
      <c r="C215" s="86"/>
      <c r="D215" s="87"/>
      <c r="E215" s="87"/>
      <c r="F215" s="87"/>
      <c r="G215" s="87"/>
      <c r="H215" s="87"/>
      <c r="I215" s="87"/>
      <c r="J215" s="87"/>
      <c r="K215" s="87"/>
      <c r="L215" s="87"/>
      <c r="M215" s="87"/>
      <c r="N215" s="87"/>
      <c r="O215" s="87"/>
      <c r="P215" s="88"/>
    </row>
    <row r="216" spans="1:16">
      <c r="A216" s="85"/>
      <c r="B216" s="86"/>
      <c r="C216" s="86"/>
      <c r="D216" s="87"/>
      <c r="E216" s="87"/>
      <c r="F216" s="87"/>
      <c r="G216" s="87"/>
      <c r="H216" s="87"/>
      <c r="I216" s="87"/>
      <c r="J216" s="87"/>
      <c r="K216" s="87"/>
      <c r="L216" s="87"/>
      <c r="M216" s="87"/>
      <c r="N216" s="87"/>
      <c r="O216" s="87"/>
      <c r="P216" s="88"/>
    </row>
    <row r="217" spans="1:16">
      <c r="A217" s="85"/>
      <c r="B217" s="86"/>
      <c r="C217" s="86"/>
      <c r="D217" s="87"/>
      <c r="E217" s="87"/>
      <c r="F217" s="87"/>
      <c r="G217" s="87"/>
      <c r="H217" s="87"/>
      <c r="I217" s="87"/>
      <c r="J217" s="87"/>
      <c r="K217" s="87"/>
      <c r="L217" s="87"/>
      <c r="M217" s="87"/>
      <c r="N217" s="87"/>
      <c r="O217" s="87"/>
      <c r="P217" s="88"/>
    </row>
    <row r="218" spans="1:16">
      <c r="A218" s="85"/>
      <c r="B218" s="86"/>
      <c r="C218" s="86"/>
      <c r="D218" s="87"/>
      <c r="E218" s="87"/>
      <c r="F218" s="87"/>
      <c r="G218" s="87"/>
      <c r="H218" s="87"/>
      <c r="I218" s="87"/>
      <c r="J218" s="87"/>
      <c r="K218" s="87"/>
      <c r="L218" s="87"/>
      <c r="M218" s="87"/>
      <c r="N218" s="87"/>
      <c r="O218" s="87"/>
      <c r="P218" s="88"/>
    </row>
    <row r="219" spans="1:16">
      <c r="A219" s="85"/>
      <c r="B219" s="86"/>
      <c r="C219" s="86"/>
      <c r="D219" s="87"/>
      <c r="E219" s="87"/>
      <c r="F219" s="87"/>
      <c r="G219" s="87"/>
      <c r="H219" s="87"/>
      <c r="I219" s="87"/>
      <c r="J219" s="87"/>
      <c r="K219" s="87"/>
      <c r="L219" s="87"/>
      <c r="M219" s="87"/>
      <c r="N219" s="87"/>
      <c r="O219" s="87"/>
      <c r="P219" s="88"/>
    </row>
    <row r="220" spans="1:16">
      <c r="A220" s="85"/>
      <c r="B220" s="86"/>
      <c r="C220" s="86"/>
      <c r="D220" s="87"/>
      <c r="E220" s="87"/>
      <c r="F220" s="87"/>
      <c r="G220" s="87"/>
      <c r="H220" s="87"/>
      <c r="I220" s="87"/>
      <c r="J220" s="87"/>
      <c r="K220" s="87"/>
      <c r="L220" s="87"/>
      <c r="M220" s="87"/>
      <c r="N220" s="87"/>
      <c r="O220" s="87"/>
      <c r="P220" s="88"/>
    </row>
    <row r="221" spans="1:16">
      <c r="A221" s="85"/>
      <c r="B221" s="86"/>
      <c r="C221" s="86"/>
      <c r="D221" s="87"/>
      <c r="E221" s="87"/>
      <c r="F221" s="87"/>
      <c r="G221" s="87"/>
      <c r="H221" s="87"/>
      <c r="I221" s="87"/>
      <c r="J221" s="87"/>
      <c r="K221" s="87"/>
      <c r="L221" s="87"/>
      <c r="M221" s="87"/>
      <c r="N221" s="87"/>
      <c r="O221" s="87"/>
      <c r="P221" s="88"/>
    </row>
    <row r="222" spans="1:16">
      <c r="A222" s="85"/>
      <c r="B222" s="86"/>
      <c r="C222" s="86"/>
      <c r="D222" s="87"/>
      <c r="E222" s="87"/>
      <c r="F222" s="87"/>
      <c r="G222" s="87"/>
      <c r="H222" s="87"/>
      <c r="I222" s="87"/>
      <c r="J222" s="87"/>
      <c r="K222" s="87"/>
      <c r="L222" s="87"/>
      <c r="M222" s="87"/>
      <c r="N222" s="87"/>
      <c r="O222" s="87"/>
      <c r="P222" s="88"/>
    </row>
    <row r="223" spans="1:16">
      <c r="A223" s="85"/>
      <c r="B223" s="86"/>
      <c r="C223" s="86"/>
      <c r="D223" s="87"/>
      <c r="E223" s="87"/>
      <c r="F223" s="87"/>
      <c r="G223" s="87"/>
      <c r="H223" s="87"/>
      <c r="I223" s="87"/>
      <c r="J223" s="87"/>
      <c r="K223" s="87"/>
      <c r="L223" s="87"/>
      <c r="M223" s="87"/>
      <c r="N223" s="87"/>
      <c r="O223" s="87"/>
      <c r="P223" s="88"/>
    </row>
    <row r="224" spans="1:16">
      <c r="A224" s="85"/>
      <c r="B224" s="86"/>
      <c r="C224" s="86"/>
      <c r="D224" s="87"/>
      <c r="E224" s="87"/>
      <c r="F224" s="87"/>
      <c r="G224" s="87"/>
      <c r="H224" s="87"/>
      <c r="I224" s="87"/>
      <c r="J224" s="87"/>
      <c r="K224" s="87"/>
      <c r="L224" s="87"/>
      <c r="M224" s="87"/>
      <c r="N224" s="87"/>
      <c r="O224" s="87"/>
      <c r="P224" s="88"/>
    </row>
    <row r="225" spans="1:16">
      <c r="A225" s="85"/>
      <c r="B225" s="86"/>
      <c r="C225" s="86"/>
      <c r="D225" s="87"/>
      <c r="E225" s="87"/>
      <c r="F225" s="87"/>
      <c r="G225" s="87"/>
      <c r="H225" s="87"/>
      <c r="I225" s="87"/>
      <c r="J225" s="87"/>
      <c r="K225" s="87"/>
      <c r="L225" s="87"/>
      <c r="M225" s="87"/>
      <c r="N225" s="87"/>
      <c r="O225" s="87"/>
      <c r="P225" s="88"/>
    </row>
    <row r="226" spans="1:16">
      <c r="A226" s="85"/>
      <c r="B226" s="86"/>
      <c r="C226" s="86"/>
      <c r="D226" s="87"/>
      <c r="E226" s="87"/>
      <c r="F226" s="87"/>
      <c r="G226" s="87"/>
      <c r="H226" s="87"/>
      <c r="I226" s="87"/>
      <c r="J226" s="87"/>
      <c r="K226" s="87"/>
      <c r="L226" s="87"/>
      <c r="M226" s="87"/>
      <c r="N226" s="87"/>
      <c r="O226" s="87"/>
      <c r="P226" s="88"/>
    </row>
    <row r="227" spans="1:16">
      <c r="A227" s="85"/>
      <c r="B227" s="86"/>
      <c r="C227" s="86"/>
      <c r="D227" s="87"/>
      <c r="E227" s="87"/>
      <c r="F227" s="87"/>
      <c r="G227" s="87"/>
      <c r="H227" s="87"/>
      <c r="I227" s="87"/>
      <c r="J227" s="87"/>
      <c r="K227" s="87"/>
      <c r="L227" s="87"/>
      <c r="M227" s="87"/>
      <c r="N227" s="87"/>
      <c r="O227" s="87"/>
      <c r="P227" s="88"/>
    </row>
    <row r="228" spans="1:16">
      <c r="A228" s="85"/>
      <c r="B228" s="86"/>
      <c r="C228" s="86"/>
      <c r="D228" s="87"/>
      <c r="E228" s="87"/>
      <c r="F228" s="87"/>
      <c r="G228" s="87"/>
      <c r="H228" s="87"/>
      <c r="I228" s="87"/>
      <c r="J228" s="87"/>
      <c r="K228" s="87"/>
      <c r="L228" s="87"/>
      <c r="M228" s="87"/>
      <c r="N228" s="87"/>
      <c r="O228" s="87"/>
      <c r="P228" s="88"/>
    </row>
    <row r="229" spans="1:16">
      <c r="A229" s="85"/>
      <c r="B229" s="86"/>
      <c r="C229" s="86"/>
      <c r="D229" s="87"/>
      <c r="E229" s="87"/>
      <c r="F229" s="87"/>
      <c r="G229" s="87"/>
      <c r="H229" s="87"/>
      <c r="I229" s="87"/>
      <c r="J229" s="87"/>
      <c r="K229" s="87"/>
      <c r="L229" s="87"/>
      <c r="M229" s="87"/>
      <c r="N229" s="87"/>
      <c r="O229" s="87"/>
      <c r="P229" s="88"/>
    </row>
    <row r="230" spans="1:16">
      <c r="A230" s="85"/>
      <c r="B230" s="86"/>
      <c r="C230" s="86"/>
      <c r="D230" s="87"/>
      <c r="E230" s="87"/>
      <c r="F230" s="87"/>
      <c r="G230" s="87"/>
      <c r="H230" s="87"/>
      <c r="I230" s="87"/>
      <c r="J230" s="87"/>
      <c r="K230" s="87"/>
      <c r="L230" s="87"/>
      <c r="M230" s="87"/>
      <c r="N230" s="87"/>
      <c r="O230" s="87"/>
      <c r="P230" s="88"/>
    </row>
    <row r="231" spans="1:16">
      <c r="A231" s="85"/>
      <c r="B231" s="86"/>
      <c r="C231" s="86"/>
      <c r="D231" s="87"/>
      <c r="E231" s="87"/>
      <c r="F231" s="87"/>
      <c r="G231" s="87"/>
      <c r="H231" s="87"/>
      <c r="I231" s="87"/>
      <c r="J231" s="87"/>
      <c r="K231" s="87"/>
      <c r="L231" s="87"/>
      <c r="M231" s="87"/>
      <c r="N231" s="87"/>
      <c r="O231" s="87"/>
      <c r="P231" s="88"/>
    </row>
    <row r="232" spans="1:16">
      <c r="A232" s="85"/>
      <c r="B232" s="86"/>
      <c r="C232" s="86"/>
      <c r="D232" s="87"/>
      <c r="E232" s="87"/>
      <c r="F232" s="87"/>
      <c r="G232" s="87"/>
      <c r="H232" s="87"/>
      <c r="I232" s="87"/>
      <c r="J232" s="87"/>
      <c r="K232" s="87"/>
      <c r="L232" s="87"/>
      <c r="M232" s="87"/>
      <c r="N232" s="87"/>
      <c r="O232" s="87"/>
      <c r="P232" s="88"/>
    </row>
    <row r="233" spans="1:16">
      <c r="A233" s="85"/>
      <c r="B233" s="86"/>
      <c r="C233" s="86"/>
      <c r="D233" s="87"/>
      <c r="E233" s="87"/>
      <c r="F233" s="87"/>
      <c r="G233" s="87"/>
      <c r="H233" s="87"/>
      <c r="I233" s="87"/>
      <c r="J233" s="87"/>
      <c r="K233" s="87"/>
      <c r="L233" s="87"/>
      <c r="M233" s="87"/>
      <c r="N233" s="87"/>
      <c r="O233" s="87"/>
      <c r="P233" s="88"/>
    </row>
    <row r="234" spans="1:16">
      <c r="A234" s="85"/>
      <c r="B234" s="86"/>
      <c r="C234" s="86"/>
      <c r="D234" s="87"/>
      <c r="E234" s="87"/>
      <c r="F234" s="87"/>
      <c r="G234" s="87"/>
      <c r="H234" s="87"/>
      <c r="I234" s="87"/>
      <c r="J234" s="87"/>
      <c r="K234" s="87"/>
      <c r="L234" s="87"/>
      <c r="M234" s="87"/>
      <c r="N234" s="87"/>
      <c r="O234" s="87"/>
      <c r="P234" s="88"/>
    </row>
    <row r="235" spans="1:16">
      <c r="A235" s="85"/>
      <c r="B235" s="86"/>
      <c r="C235" s="86"/>
      <c r="D235" s="87"/>
      <c r="E235" s="87"/>
      <c r="F235" s="87"/>
      <c r="G235" s="87"/>
      <c r="H235" s="87"/>
      <c r="I235" s="87"/>
      <c r="J235" s="87"/>
      <c r="K235" s="87"/>
      <c r="L235" s="87"/>
      <c r="M235" s="87"/>
      <c r="N235" s="87"/>
      <c r="O235" s="87"/>
      <c r="P235" s="88"/>
    </row>
    <row r="236" spans="1:16">
      <c r="A236" s="85"/>
      <c r="B236" s="86"/>
      <c r="C236" s="86"/>
      <c r="D236" s="87"/>
      <c r="E236" s="87"/>
      <c r="F236" s="87"/>
      <c r="G236" s="87"/>
      <c r="H236" s="87"/>
      <c r="I236" s="87"/>
      <c r="J236" s="87"/>
      <c r="K236" s="87"/>
      <c r="L236" s="87"/>
      <c r="M236" s="87"/>
      <c r="N236" s="87"/>
      <c r="O236" s="87"/>
      <c r="P236" s="88"/>
    </row>
    <row r="237" spans="1:16">
      <c r="A237" s="85"/>
      <c r="B237" s="86"/>
      <c r="C237" s="86"/>
      <c r="D237" s="87"/>
      <c r="E237" s="87"/>
      <c r="F237" s="87"/>
      <c r="G237" s="87"/>
      <c r="H237" s="87"/>
      <c r="I237" s="87"/>
      <c r="J237" s="87"/>
      <c r="K237" s="87"/>
      <c r="L237" s="87"/>
      <c r="M237" s="87"/>
      <c r="N237" s="87"/>
      <c r="O237" s="87"/>
      <c r="P237" s="88"/>
    </row>
    <row r="238" spans="1:16">
      <c r="A238" s="85"/>
      <c r="B238" s="86"/>
      <c r="C238" s="86"/>
      <c r="D238" s="87"/>
      <c r="E238" s="87"/>
      <c r="F238" s="87"/>
      <c r="G238" s="87"/>
      <c r="H238" s="87"/>
      <c r="I238" s="87"/>
      <c r="J238" s="87"/>
      <c r="K238" s="87"/>
      <c r="L238" s="87"/>
      <c r="M238" s="87"/>
      <c r="N238" s="87"/>
      <c r="O238" s="87"/>
      <c r="P238" s="88"/>
    </row>
    <row r="239" spans="1:16">
      <c r="A239" s="85"/>
      <c r="B239" s="86"/>
      <c r="C239" s="86"/>
      <c r="D239" s="87"/>
      <c r="E239" s="87"/>
      <c r="F239" s="87"/>
      <c r="G239" s="87"/>
      <c r="H239" s="87"/>
      <c r="I239" s="87"/>
      <c r="J239" s="87"/>
      <c r="K239" s="87"/>
      <c r="L239" s="87"/>
      <c r="M239" s="87"/>
      <c r="N239" s="87"/>
      <c r="O239" s="87"/>
      <c r="P239" s="88"/>
    </row>
    <row r="240" spans="1:16">
      <c r="A240" s="85"/>
      <c r="B240" s="86"/>
      <c r="C240" s="86"/>
      <c r="D240" s="87"/>
      <c r="E240" s="87"/>
      <c r="F240" s="87"/>
      <c r="G240" s="87"/>
      <c r="H240" s="87"/>
      <c r="I240" s="87"/>
      <c r="J240" s="87"/>
      <c r="K240" s="87"/>
      <c r="L240" s="87"/>
      <c r="M240" s="87"/>
      <c r="N240" s="87"/>
      <c r="O240" s="87"/>
      <c r="P240" s="88"/>
    </row>
    <row r="241" spans="1:16">
      <c r="A241" s="85"/>
      <c r="B241" s="86"/>
      <c r="C241" s="86"/>
      <c r="D241" s="87"/>
      <c r="E241" s="87"/>
      <c r="F241" s="87"/>
      <c r="G241" s="87"/>
      <c r="H241" s="87"/>
      <c r="I241" s="87"/>
      <c r="J241" s="87"/>
      <c r="K241" s="87"/>
      <c r="L241" s="87"/>
      <c r="M241" s="87"/>
      <c r="N241" s="87"/>
      <c r="O241" s="87"/>
      <c r="P241" s="88"/>
    </row>
    <row r="242" spans="1:16">
      <c r="A242" s="85"/>
      <c r="B242" s="86"/>
      <c r="C242" s="86"/>
      <c r="D242" s="87"/>
      <c r="E242" s="87"/>
      <c r="F242" s="87"/>
      <c r="G242" s="87"/>
      <c r="H242" s="87"/>
      <c r="I242" s="87"/>
      <c r="J242" s="87"/>
      <c r="K242" s="87"/>
      <c r="L242" s="87"/>
      <c r="M242" s="87"/>
      <c r="N242" s="87"/>
      <c r="O242" s="87"/>
      <c r="P242" s="88"/>
    </row>
    <row r="243" spans="1:16">
      <c r="A243" s="85"/>
      <c r="B243" s="86"/>
      <c r="C243" s="86"/>
      <c r="D243" s="87"/>
      <c r="E243" s="87"/>
      <c r="F243" s="87"/>
      <c r="G243" s="87"/>
      <c r="H243" s="87"/>
      <c r="I243" s="87"/>
      <c r="J243" s="87"/>
      <c r="K243" s="87"/>
      <c r="L243" s="87"/>
      <c r="M243" s="87"/>
      <c r="N243" s="87"/>
      <c r="O243" s="87"/>
      <c r="P243" s="88"/>
    </row>
    <row r="244" spans="1:16">
      <c r="A244" s="85"/>
      <c r="B244" s="86"/>
      <c r="C244" s="86"/>
      <c r="D244" s="87"/>
      <c r="E244" s="87"/>
      <c r="F244" s="87"/>
      <c r="G244" s="87"/>
      <c r="H244" s="87"/>
      <c r="I244" s="87"/>
      <c r="J244" s="87"/>
      <c r="K244" s="87"/>
      <c r="L244" s="87"/>
      <c r="M244" s="87"/>
      <c r="N244" s="87"/>
      <c r="O244" s="87"/>
      <c r="P244" s="88"/>
    </row>
    <row r="245" spans="1:16">
      <c r="A245" s="85"/>
      <c r="B245" s="86"/>
      <c r="C245" s="86"/>
      <c r="D245" s="87"/>
      <c r="E245" s="87"/>
      <c r="F245" s="87"/>
      <c r="G245" s="87"/>
      <c r="H245" s="87"/>
      <c r="I245" s="87"/>
      <c r="J245" s="87"/>
      <c r="K245" s="87"/>
      <c r="L245" s="87"/>
      <c r="M245" s="87"/>
      <c r="N245" s="87"/>
      <c r="O245" s="87"/>
      <c r="P245" s="88"/>
    </row>
    <row r="246" spans="1:16">
      <c r="A246" s="85"/>
      <c r="B246" s="86"/>
      <c r="C246" s="86"/>
      <c r="D246" s="87"/>
      <c r="E246" s="87"/>
      <c r="F246" s="87"/>
      <c r="G246" s="87"/>
      <c r="H246" s="87"/>
      <c r="I246" s="87"/>
      <c r="J246" s="87"/>
      <c r="K246" s="87"/>
      <c r="L246" s="87"/>
      <c r="M246" s="87"/>
      <c r="N246" s="87"/>
      <c r="O246" s="87"/>
      <c r="P246" s="88"/>
    </row>
    <row r="247" spans="1:16">
      <c r="A247" s="85"/>
      <c r="B247" s="86"/>
      <c r="C247" s="86"/>
      <c r="D247" s="87"/>
      <c r="E247" s="87"/>
      <c r="F247" s="87"/>
      <c r="G247" s="87"/>
      <c r="H247" s="87"/>
      <c r="I247" s="87"/>
      <c r="J247" s="87"/>
      <c r="K247" s="87"/>
      <c r="L247" s="87"/>
      <c r="M247" s="87"/>
      <c r="N247" s="87"/>
      <c r="O247" s="87"/>
      <c r="P247" s="88"/>
    </row>
    <row r="248" spans="1:16">
      <c r="A248" s="85"/>
      <c r="B248" s="86"/>
      <c r="C248" s="86"/>
      <c r="D248" s="87"/>
      <c r="E248" s="87"/>
      <c r="F248" s="87"/>
      <c r="G248" s="87"/>
      <c r="H248" s="87"/>
      <c r="I248" s="87"/>
      <c r="J248" s="87"/>
      <c r="K248" s="87"/>
      <c r="L248" s="87"/>
      <c r="M248" s="87"/>
      <c r="N248" s="87"/>
      <c r="O248" s="87"/>
      <c r="P248" s="88"/>
    </row>
    <row r="249" spans="1:16">
      <c r="A249" s="85"/>
      <c r="B249" s="86"/>
      <c r="C249" s="86"/>
      <c r="D249" s="87"/>
      <c r="E249" s="87"/>
      <c r="F249" s="87"/>
      <c r="G249" s="87"/>
      <c r="H249" s="87"/>
      <c r="I249" s="87"/>
      <c r="J249" s="87"/>
      <c r="K249" s="87"/>
      <c r="L249" s="87"/>
      <c r="M249" s="87"/>
      <c r="N249" s="87"/>
      <c r="O249" s="87"/>
      <c r="P249" s="88"/>
    </row>
    <row r="250" spans="1:16">
      <c r="A250" s="85"/>
      <c r="B250" s="86"/>
      <c r="C250" s="86"/>
      <c r="D250" s="87"/>
      <c r="E250" s="87"/>
      <c r="F250" s="87"/>
      <c r="G250" s="87"/>
      <c r="H250" s="87"/>
      <c r="I250" s="87"/>
      <c r="J250" s="87"/>
      <c r="K250" s="87"/>
      <c r="L250" s="87"/>
      <c r="M250" s="87"/>
      <c r="N250" s="87"/>
      <c r="O250" s="87"/>
      <c r="P250" s="88"/>
    </row>
    <row r="251" spans="1:16">
      <c r="A251" s="85"/>
      <c r="B251" s="86"/>
      <c r="C251" s="86"/>
      <c r="D251" s="87"/>
      <c r="E251" s="87"/>
      <c r="F251" s="87"/>
      <c r="G251" s="87"/>
      <c r="H251" s="87"/>
      <c r="I251" s="87"/>
      <c r="J251" s="87"/>
      <c r="K251" s="87"/>
      <c r="L251" s="87"/>
      <c r="M251" s="87"/>
      <c r="N251" s="87"/>
      <c r="O251" s="87"/>
      <c r="P251" s="88"/>
    </row>
    <row r="252" spans="1:16">
      <c r="A252" s="85"/>
      <c r="B252" s="86"/>
      <c r="C252" s="86"/>
      <c r="D252" s="87"/>
      <c r="E252" s="87"/>
      <c r="F252" s="87"/>
      <c r="G252" s="87"/>
      <c r="H252" s="87"/>
      <c r="I252" s="87"/>
      <c r="J252" s="87"/>
      <c r="K252" s="87"/>
      <c r="L252" s="87"/>
      <c r="M252" s="87"/>
      <c r="N252" s="87"/>
      <c r="O252" s="87"/>
      <c r="P252" s="88"/>
    </row>
    <row r="253" spans="1:16">
      <c r="A253" s="85"/>
      <c r="B253" s="86"/>
      <c r="C253" s="86"/>
      <c r="D253" s="87"/>
      <c r="E253" s="87"/>
      <c r="F253" s="87"/>
      <c r="G253" s="87"/>
      <c r="H253" s="87"/>
      <c r="I253" s="87"/>
      <c r="J253" s="87"/>
      <c r="K253" s="87"/>
      <c r="L253" s="87"/>
      <c r="M253" s="87"/>
      <c r="N253" s="87"/>
      <c r="O253" s="87"/>
      <c r="P253" s="88"/>
    </row>
    <row r="254" spans="1:16">
      <c r="A254" s="85"/>
      <c r="B254" s="86"/>
      <c r="C254" s="86"/>
      <c r="D254" s="87"/>
      <c r="E254" s="87"/>
      <c r="F254" s="87"/>
      <c r="G254" s="87"/>
      <c r="H254" s="87"/>
      <c r="I254" s="87"/>
      <c r="J254" s="87"/>
      <c r="K254" s="87"/>
      <c r="L254" s="87"/>
      <c r="M254" s="87"/>
      <c r="N254" s="87"/>
      <c r="O254" s="87"/>
      <c r="P254" s="88"/>
    </row>
    <row r="255" spans="1:16">
      <c r="A255" s="85"/>
      <c r="B255" s="86"/>
      <c r="C255" s="86"/>
      <c r="D255" s="87"/>
      <c r="E255" s="87"/>
      <c r="F255" s="87"/>
      <c r="G255" s="87"/>
      <c r="H255" s="87"/>
      <c r="I255" s="87"/>
      <c r="J255" s="87"/>
      <c r="K255" s="87"/>
      <c r="L255" s="87"/>
      <c r="M255" s="87"/>
      <c r="N255" s="87"/>
      <c r="O255" s="87"/>
      <c r="P255" s="88"/>
    </row>
    <row r="256" spans="1:16">
      <c r="A256" s="85"/>
      <c r="B256" s="86"/>
      <c r="C256" s="86"/>
      <c r="D256" s="87"/>
      <c r="E256" s="87"/>
      <c r="F256" s="87"/>
      <c r="G256" s="87"/>
      <c r="H256" s="87"/>
      <c r="I256" s="87"/>
      <c r="J256" s="87"/>
      <c r="K256" s="87"/>
      <c r="L256" s="87"/>
      <c r="M256" s="87"/>
      <c r="N256" s="87"/>
      <c r="O256" s="87"/>
      <c r="P256" s="88"/>
    </row>
    <row r="257" spans="1:16">
      <c r="A257" s="85"/>
      <c r="B257" s="86"/>
      <c r="C257" s="86"/>
      <c r="D257" s="87"/>
      <c r="E257" s="87"/>
      <c r="F257" s="87"/>
      <c r="G257" s="87"/>
      <c r="H257" s="87"/>
      <c r="I257" s="87"/>
      <c r="J257" s="87"/>
      <c r="K257" s="87"/>
      <c r="L257" s="87"/>
      <c r="M257" s="87"/>
      <c r="N257" s="87"/>
      <c r="O257" s="87"/>
      <c r="P257" s="88"/>
    </row>
    <row r="258" spans="1:16">
      <c r="A258" s="85"/>
      <c r="B258" s="86"/>
      <c r="C258" s="86"/>
      <c r="D258" s="87"/>
      <c r="E258" s="87"/>
      <c r="F258" s="87"/>
      <c r="G258" s="87"/>
      <c r="H258" s="87"/>
      <c r="I258" s="87"/>
      <c r="J258" s="87"/>
      <c r="K258" s="87"/>
      <c r="L258" s="87"/>
      <c r="M258" s="87"/>
      <c r="N258" s="87"/>
      <c r="O258" s="87"/>
      <c r="P258" s="88"/>
    </row>
    <row r="259" spans="1:16">
      <c r="A259" s="85"/>
      <c r="B259" s="86"/>
      <c r="C259" s="86"/>
      <c r="D259" s="87"/>
      <c r="E259" s="87"/>
      <c r="F259" s="87"/>
      <c r="G259" s="87"/>
      <c r="H259" s="87"/>
      <c r="I259" s="87"/>
      <c r="J259" s="87"/>
      <c r="K259" s="87"/>
      <c r="L259" s="87"/>
      <c r="M259" s="87"/>
      <c r="N259" s="87"/>
      <c r="O259" s="87"/>
      <c r="P259" s="88"/>
    </row>
    <row r="260" spans="1:16">
      <c r="A260" s="85"/>
      <c r="B260" s="86"/>
      <c r="C260" s="86"/>
      <c r="D260" s="87"/>
      <c r="E260" s="87"/>
      <c r="F260" s="87"/>
      <c r="G260" s="87"/>
      <c r="H260" s="87"/>
      <c r="I260" s="87"/>
      <c r="J260" s="87"/>
      <c r="K260" s="87"/>
      <c r="L260" s="87"/>
      <c r="M260" s="87"/>
      <c r="N260" s="87"/>
      <c r="O260" s="87"/>
      <c r="P260" s="88"/>
    </row>
    <row r="261" spans="1:16">
      <c r="A261" s="85"/>
      <c r="B261" s="86"/>
      <c r="C261" s="86"/>
      <c r="D261" s="87"/>
      <c r="E261" s="87"/>
      <c r="F261" s="87"/>
      <c r="G261" s="87"/>
      <c r="H261" s="87"/>
      <c r="I261" s="87"/>
      <c r="J261" s="87"/>
      <c r="K261" s="87"/>
      <c r="L261" s="87"/>
      <c r="M261" s="87"/>
      <c r="N261" s="87"/>
      <c r="O261" s="87"/>
      <c r="P261" s="88"/>
    </row>
    <row r="262" spans="1:16">
      <c r="A262" s="85"/>
      <c r="B262" s="86"/>
      <c r="C262" s="86"/>
      <c r="D262" s="87"/>
      <c r="E262" s="87"/>
      <c r="F262" s="87"/>
      <c r="G262" s="87"/>
      <c r="H262" s="87"/>
      <c r="I262" s="87"/>
      <c r="J262" s="87"/>
      <c r="K262" s="87"/>
      <c r="L262" s="87"/>
      <c r="M262" s="87"/>
      <c r="N262" s="87"/>
      <c r="O262" s="87"/>
      <c r="P262" s="88"/>
    </row>
    <row r="263" spans="1:16">
      <c r="A263" s="85"/>
      <c r="B263" s="86"/>
      <c r="C263" s="86"/>
      <c r="D263" s="87"/>
      <c r="E263" s="87"/>
      <c r="F263" s="87"/>
      <c r="G263" s="87"/>
      <c r="H263" s="87"/>
      <c r="I263" s="87"/>
      <c r="J263" s="87"/>
      <c r="K263" s="87"/>
      <c r="L263" s="87"/>
      <c r="M263" s="87"/>
      <c r="N263" s="87"/>
      <c r="O263" s="87"/>
      <c r="P263" s="88"/>
    </row>
    <row r="264" spans="1:16">
      <c r="A264" s="85"/>
      <c r="B264" s="86"/>
      <c r="C264" s="86"/>
      <c r="D264" s="87"/>
      <c r="E264" s="87"/>
      <c r="F264" s="87"/>
      <c r="G264" s="87"/>
      <c r="H264" s="87"/>
      <c r="I264" s="87"/>
      <c r="J264" s="87"/>
      <c r="K264" s="87"/>
      <c r="L264" s="87"/>
      <c r="M264" s="87"/>
      <c r="N264" s="87"/>
      <c r="O264" s="87"/>
      <c r="P264" s="88"/>
    </row>
    <row r="265" spans="1:16">
      <c r="A265" s="85"/>
      <c r="B265" s="86"/>
      <c r="C265" s="86"/>
      <c r="D265" s="87"/>
      <c r="E265" s="87"/>
      <c r="F265" s="87"/>
      <c r="G265" s="87"/>
      <c r="H265" s="87"/>
      <c r="I265" s="87"/>
      <c r="J265" s="87"/>
      <c r="K265" s="87"/>
      <c r="L265" s="87"/>
      <c r="M265" s="87"/>
      <c r="N265" s="87"/>
      <c r="O265" s="87"/>
      <c r="P265" s="88"/>
    </row>
    <row r="266" spans="1:16">
      <c r="A266" s="85"/>
      <c r="B266" s="86"/>
      <c r="C266" s="86"/>
      <c r="D266" s="87"/>
      <c r="E266" s="87"/>
      <c r="F266" s="87"/>
      <c r="G266" s="87"/>
      <c r="H266" s="87"/>
      <c r="I266" s="87"/>
      <c r="J266" s="87"/>
      <c r="K266" s="87"/>
      <c r="L266" s="87"/>
      <c r="M266" s="87"/>
      <c r="N266" s="87"/>
      <c r="O266" s="87"/>
      <c r="P266" s="88"/>
    </row>
    <row r="267" spans="1:16">
      <c r="A267" s="85"/>
      <c r="B267" s="86"/>
      <c r="C267" s="86"/>
      <c r="D267" s="87"/>
      <c r="E267" s="87"/>
      <c r="F267" s="87"/>
      <c r="G267" s="87"/>
      <c r="H267" s="87"/>
      <c r="I267" s="87"/>
      <c r="J267" s="87"/>
      <c r="K267" s="87"/>
      <c r="L267" s="87"/>
      <c r="M267" s="87"/>
      <c r="N267" s="87"/>
      <c r="O267" s="87"/>
      <c r="P267" s="88"/>
    </row>
    <row r="268" spans="1:16">
      <c r="A268" s="85"/>
      <c r="B268" s="86"/>
      <c r="C268" s="86"/>
      <c r="D268" s="87"/>
      <c r="E268" s="87"/>
      <c r="F268" s="87"/>
      <c r="G268" s="87"/>
      <c r="H268" s="87"/>
      <c r="I268" s="87"/>
      <c r="J268" s="87"/>
      <c r="K268" s="87"/>
      <c r="L268" s="87"/>
      <c r="M268" s="87"/>
      <c r="N268" s="87"/>
      <c r="O268" s="87"/>
      <c r="P268" s="88"/>
    </row>
    <row r="269" spans="1:16">
      <c r="A269" s="85"/>
      <c r="B269" s="86"/>
      <c r="C269" s="86"/>
      <c r="D269" s="87"/>
      <c r="E269" s="87"/>
      <c r="F269" s="87"/>
      <c r="G269" s="87"/>
      <c r="H269" s="87"/>
      <c r="I269" s="87"/>
      <c r="J269" s="87"/>
      <c r="K269" s="87"/>
      <c r="L269" s="87"/>
      <c r="M269" s="87"/>
      <c r="N269" s="87"/>
      <c r="O269" s="87"/>
      <c r="P269" s="88"/>
    </row>
    <row r="270" spans="1:16">
      <c r="A270" s="85"/>
      <c r="B270" s="86"/>
      <c r="C270" s="86"/>
      <c r="D270" s="87"/>
      <c r="E270" s="87"/>
      <c r="F270" s="87"/>
      <c r="G270" s="87"/>
      <c r="H270" s="87"/>
      <c r="I270" s="87"/>
      <c r="J270" s="87"/>
      <c r="K270" s="87"/>
      <c r="L270" s="87"/>
      <c r="M270" s="87"/>
      <c r="N270" s="87"/>
      <c r="O270" s="87"/>
      <c r="P270" s="88"/>
    </row>
    <row r="271" spans="1:16">
      <c r="A271" s="85"/>
      <c r="B271" s="86"/>
      <c r="C271" s="86"/>
      <c r="D271" s="87"/>
      <c r="E271" s="87"/>
      <c r="F271" s="87"/>
      <c r="G271" s="87"/>
      <c r="H271" s="87"/>
      <c r="I271" s="87"/>
      <c r="J271" s="87"/>
      <c r="K271" s="87"/>
      <c r="L271" s="87"/>
      <c r="M271" s="87"/>
      <c r="N271" s="87"/>
      <c r="O271" s="87"/>
      <c r="P271" s="88"/>
    </row>
    <row r="272" spans="1:16">
      <c r="A272" s="85"/>
      <c r="B272" s="86"/>
      <c r="C272" s="86"/>
      <c r="D272" s="87"/>
      <c r="E272" s="87"/>
      <c r="F272" s="87"/>
      <c r="G272" s="87"/>
      <c r="H272" s="87"/>
      <c r="I272" s="87"/>
      <c r="J272" s="87"/>
      <c r="K272" s="87"/>
      <c r="L272" s="87"/>
      <c r="M272" s="87"/>
      <c r="N272" s="87"/>
      <c r="O272" s="87"/>
      <c r="P272" s="88"/>
    </row>
    <row r="273" spans="1:16">
      <c r="A273" s="85"/>
      <c r="B273" s="86"/>
      <c r="C273" s="86"/>
      <c r="D273" s="87"/>
      <c r="E273" s="87"/>
      <c r="F273" s="87"/>
      <c r="G273" s="87"/>
      <c r="H273" s="87"/>
      <c r="I273" s="87"/>
      <c r="J273" s="87"/>
      <c r="K273" s="87"/>
      <c r="L273" s="87"/>
      <c r="M273" s="87"/>
      <c r="N273" s="87"/>
      <c r="O273" s="87"/>
      <c r="P273" s="88"/>
    </row>
    <row r="274" spans="1:16">
      <c r="A274" s="85"/>
      <c r="B274" s="86"/>
      <c r="C274" s="86"/>
      <c r="D274" s="87"/>
      <c r="E274" s="87"/>
      <c r="F274" s="87"/>
      <c r="G274" s="87"/>
      <c r="H274" s="87"/>
      <c r="I274" s="87"/>
      <c r="J274" s="87"/>
      <c r="K274" s="87"/>
      <c r="L274" s="87"/>
      <c r="M274" s="87"/>
      <c r="N274" s="87"/>
      <c r="O274" s="87"/>
      <c r="P274" s="88"/>
    </row>
    <row r="275" spans="1:16">
      <c r="A275" s="85"/>
      <c r="B275" s="86"/>
      <c r="C275" s="86"/>
      <c r="D275" s="87"/>
      <c r="E275" s="87"/>
      <c r="F275" s="87"/>
      <c r="G275" s="87"/>
      <c r="H275" s="87"/>
      <c r="I275" s="87"/>
      <c r="J275" s="87"/>
      <c r="K275" s="87"/>
      <c r="L275" s="87"/>
      <c r="M275" s="87"/>
      <c r="N275" s="87"/>
      <c r="O275" s="87"/>
      <c r="P275" s="88"/>
    </row>
    <row r="276" spans="1:16">
      <c r="A276" s="85"/>
      <c r="B276" s="86"/>
      <c r="C276" s="86"/>
      <c r="D276" s="87"/>
      <c r="E276" s="87"/>
      <c r="F276" s="87"/>
      <c r="G276" s="87"/>
      <c r="H276" s="87"/>
      <c r="I276" s="87"/>
      <c r="J276" s="87"/>
      <c r="K276" s="87"/>
      <c r="L276" s="87"/>
      <c r="M276" s="87"/>
      <c r="N276" s="87"/>
      <c r="O276" s="87"/>
      <c r="P276" s="88"/>
    </row>
    <row r="277" spans="1:16">
      <c r="A277" s="85"/>
      <c r="B277" s="86"/>
      <c r="C277" s="86"/>
      <c r="D277" s="87"/>
      <c r="E277" s="87"/>
      <c r="F277" s="87"/>
      <c r="G277" s="87"/>
      <c r="H277" s="87"/>
      <c r="I277" s="87"/>
      <c r="J277" s="87"/>
      <c r="K277" s="87"/>
      <c r="L277" s="87"/>
      <c r="M277" s="87"/>
      <c r="N277" s="87"/>
      <c r="O277" s="87"/>
      <c r="P277" s="88"/>
    </row>
    <row r="278" spans="1:16">
      <c r="A278" s="85"/>
      <c r="B278" s="86"/>
      <c r="C278" s="86"/>
      <c r="D278" s="87"/>
      <c r="E278" s="87"/>
      <c r="F278" s="87"/>
      <c r="G278" s="87"/>
      <c r="H278" s="87"/>
      <c r="I278" s="87"/>
      <c r="J278" s="87"/>
      <c r="K278" s="87"/>
      <c r="L278" s="87"/>
      <c r="M278" s="87"/>
      <c r="N278" s="87"/>
      <c r="O278" s="87"/>
      <c r="P278" s="88"/>
    </row>
    <row r="279" spans="1:16">
      <c r="A279" s="85"/>
      <c r="B279" s="86"/>
      <c r="C279" s="86"/>
      <c r="D279" s="87"/>
      <c r="E279" s="87"/>
      <c r="F279" s="87"/>
      <c r="G279" s="87"/>
      <c r="H279" s="87"/>
      <c r="I279" s="87"/>
      <c r="J279" s="87"/>
      <c r="K279" s="87"/>
      <c r="L279" s="87"/>
      <c r="M279" s="87"/>
      <c r="N279" s="87"/>
      <c r="O279" s="87"/>
      <c r="P279" s="88"/>
    </row>
    <row r="280" spans="1:16">
      <c r="A280" s="85"/>
      <c r="B280" s="86"/>
      <c r="C280" s="86"/>
      <c r="D280" s="87"/>
      <c r="E280" s="87"/>
      <c r="F280" s="87"/>
      <c r="G280" s="87"/>
      <c r="H280" s="87"/>
      <c r="I280" s="87"/>
      <c r="J280" s="87"/>
      <c r="K280" s="87"/>
      <c r="L280" s="87"/>
      <c r="M280" s="87"/>
      <c r="N280" s="87"/>
      <c r="O280" s="87"/>
      <c r="P280" s="88"/>
    </row>
    <row r="281" spans="1:16">
      <c r="A281" s="85"/>
      <c r="B281" s="86"/>
      <c r="C281" s="86"/>
      <c r="D281" s="87"/>
      <c r="E281" s="87"/>
      <c r="F281" s="87"/>
      <c r="G281" s="87"/>
      <c r="H281" s="87"/>
      <c r="I281" s="87"/>
      <c r="J281" s="87"/>
      <c r="K281" s="87"/>
      <c r="L281" s="87"/>
      <c r="M281" s="87"/>
      <c r="N281" s="87"/>
      <c r="O281" s="87"/>
      <c r="P281" s="88"/>
    </row>
    <row r="282" spans="1:16">
      <c r="A282" s="85"/>
      <c r="B282" s="86"/>
      <c r="C282" s="86"/>
      <c r="D282" s="87"/>
      <c r="E282" s="87"/>
      <c r="F282" s="87"/>
      <c r="G282" s="87"/>
      <c r="H282" s="87"/>
      <c r="I282" s="87"/>
      <c r="J282" s="87"/>
      <c r="K282" s="87"/>
      <c r="L282" s="87"/>
      <c r="M282" s="87"/>
      <c r="N282" s="87"/>
      <c r="O282" s="87"/>
      <c r="P282" s="88"/>
    </row>
    <row r="283" spans="1:16">
      <c r="A283" s="85"/>
      <c r="B283" s="86"/>
      <c r="C283" s="86"/>
      <c r="D283" s="87"/>
      <c r="E283" s="87"/>
      <c r="F283" s="87"/>
      <c r="G283" s="87"/>
      <c r="H283" s="87"/>
      <c r="I283" s="87"/>
      <c r="J283" s="87"/>
      <c r="K283" s="87"/>
      <c r="L283" s="87"/>
      <c r="M283" s="87"/>
      <c r="N283" s="87"/>
      <c r="O283" s="87"/>
      <c r="P283" s="88"/>
    </row>
    <row r="284" spans="1:16">
      <c r="A284" s="85"/>
      <c r="B284" s="86"/>
      <c r="C284" s="86"/>
      <c r="D284" s="87"/>
      <c r="E284" s="87"/>
      <c r="F284" s="87"/>
      <c r="G284" s="87"/>
      <c r="H284" s="87"/>
      <c r="I284" s="87"/>
      <c r="J284" s="87"/>
      <c r="K284" s="87"/>
      <c r="L284" s="87"/>
      <c r="M284" s="87"/>
      <c r="N284" s="87"/>
      <c r="O284" s="87"/>
      <c r="P284" s="88"/>
    </row>
    <row r="285" spans="1:16">
      <c r="A285" s="85"/>
      <c r="B285" s="86"/>
      <c r="C285" s="86"/>
      <c r="D285" s="87"/>
      <c r="E285" s="87"/>
      <c r="F285" s="87"/>
      <c r="G285" s="87"/>
      <c r="H285" s="87"/>
      <c r="I285" s="87"/>
      <c r="J285" s="87"/>
      <c r="K285" s="87"/>
      <c r="L285" s="87"/>
      <c r="M285" s="87"/>
      <c r="N285" s="87"/>
      <c r="O285" s="87"/>
      <c r="P285" s="88"/>
    </row>
    <row r="286" spans="1:16">
      <c r="A286" s="85"/>
      <c r="B286" s="86"/>
      <c r="C286" s="86"/>
      <c r="D286" s="87"/>
      <c r="E286" s="87"/>
      <c r="F286" s="87"/>
      <c r="G286" s="87"/>
      <c r="H286" s="87"/>
      <c r="I286" s="87"/>
      <c r="J286" s="87"/>
      <c r="K286" s="87"/>
      <c r="L286" s="87"/>
      <c r="M286" s="87"/>
      <c r="N286" s="87"/>
      <c r="O286" s="87"/>
      <c r="P286" s="88"/>
    </row>
    <row r="287" spans="1:16">
      <c r="A287" s="85"/>
      <c r="B287" s="86"/>
      <c r="C287" s="86"/>
      <c r="D287" s="87"/>
      <c r="E287" s="87"/>
      <c r="F287" s="87"/>
      <c r="G287" s="87"/>
      <c r="H287" s="87"/>
      <c r="I287" s="87"/>
      <c r="J287" s="87"/>
      <c r="K287" s="87"/>
      <c r="L287" s="87"/>
      <c r="M287" s="87"/>
      <c r="N287" s="87"/>
      <c r="O287" s="87"/>
      <c r="P287" s="88"/>
    </row>
    <row r="288" spans="1:16">
      <c r="A288" s="85"/>
      <c r="B288" s="86"/>
      <c r="C288" s="86"/>
      <c r="D288" s="87"/>
      <c r="E288" s="87"/>
      <c r="F288" s="87"/>
      <c r="G288" s="87"/>
      <c r="H288" s="87"/>
      <c r="I288" s="87"/>
      <c r="J288" s="87"/>
      <c r="K288" s="87"/>
      <c r="L288" s="87"/>
      <c r="M288" s="87"/>
      <c r="N288" s="87"/>
      <c r="O288" s="87"/>
      <c r="P288" s="88"/>
    </row>
    <row r="289" spans="1:16">
      <c r="A289" s="85"/>
      <c r="B289" s="86"/>
      <c r="C289" s="86"/>
      <c r="D289" s="87"/>
      <c r="E289" s="87"/>
      <c r="F289" s="87"/>
      <c r="G289" s="87"/>
      <c r="H289" s="87"/>
      <c r="I289" s="87"/>
      <c r="J289" s="87"/>
      <c r="K289" s="87"/>
      <c r="L289" s="87"/>
      <c r="M289" s="87"/>
      <c r="N289" s="87"/>
      <c r="O289" s="87"/>
      <c r="P289" s="88"/>
    </row>
    <row r="290" spans="1:16">
      <c r="A290" s="85"/>
      <c r="B290" s="86"/>
      <c r="C290" s="86"/>
      <c r="D290" s="87"/>
      <c r="E290" s="87"/>
      <c r="F290" s="87"/>
      <c r="G290" s="87"/>
      <c r="H290" s="87"/>
      <c r="I290" s="87"/>
      <c r="J290" s="87"/>
      <c r="K290" s="87"/>
      <c r="L290" s="87"/>
      <c r="M290" s="87"/>
      <c r="N290" s="87"/>
      <c r="O290" s="87"/>
      <c r="P290" s="88"/>
    </row>
    <row r="291" spans="1:16">
      <c r="A291" s="85"/>
      <c r="B291" s="86"/>
      <c r="C291" s="86"/>
      <c r="D291" s="87"/>
      <c r="E291" s="87"/>
      <c r="F291" s="87"/>
      <c r="G291" s="87"/>
      <c r="H291" s="87"/>
      <c r="I291" s="87"/>
      <c r="J291" s="87"/>
      <c r="K291" s="87"/>
      <c r="L291" s="87"/>
      <c r="M291" s="87"/>
      <c r="N291" s="87"/>
      <c r="O291" s="87"/>
      <c r="P291" s="88"/>
    </row>
    <row r="292" spans="1:16">
      <c r="A292" s="85"/>
      <c r="B292" s="86"/>
      <c r="C292" s="86"/>
      <c r="D292" s="87"/>
      <c r="E292" s="87"/>
      <c r="F292" s="87"/>
      <c r="G292" s="87"/>
      <c r="H292" s="87"/>
      <c r="I292" s="87"/>
      <c r="J292" s="87"/>
      <c r="K292" s="87"/>
      <c r="L292" s="87"/>
      <c r="M292" s="87"/>
      <c r="N292" s="87"/>
      <c r="O292" s="87"/>
      <c r="P292" s="88"/>
    </row>
    <row r="293" spans="1:16">
      <c r="A293" s="85"/>
      <c r="B293" s="86"/>
      <c r="C293" s="86"/>
      <c r="D293" s="87"/>
      <c r="E293" s="87"/>
      <c r="F293" s="87"/>
      <c r="G293" s="87"/>
      <c r="H293" s="87"/>
      <c r="I293" s="87"/>
      <c r="J293" s="87"/>
      <c r="K293" s="87"/>
      <c r="L293" s="87"/>
      <c r="M293" s="87"/>
      <c r="N293" s="87"/>
      <c r="O293" s="87"/>
      <c r="P293" s="88"/>
    </row>
    <row r="294" spans="1:16">
      <c r="A294" s="85"/>
      <c r="B294" s="86"/>
      <c r="C294" s="86"/>
      <c r="D294" s="87"/>
      <c r="E294" s="87"/>
      <c r="F294" s="87"/>
      <c r="G294" s="87"/>
      <c r="H294" s="87"/>
      <c r="I294" s="87"/>
      <c r="J294" s="87"/>
      <c r="K294" s="87"/>
      <c r="L294" s="87"/>
      <c r="M294" s="87"/>
      <c r="N294" s="87"/>
      <c r="O294" s="87"/>
      <c r="P294" s="88"/>
    </row>
    <row r="295" spans="1:16">
      <c r="A295" s="85"/>
      <c r="B295" s="86"/>
      <c r="C295" s="86"/>
      <c r="D295" s="87"/>
      <c r="E295" s="87"/>
      <c r="F295" s="87"/>
      <c r="G295" s="87"/>
      <c r="H295" s="87"/>
      <c r="I295" s="87"/>
      <c r="J295" s="87"/>
      <c r="K295" s="87"/>
      <c r="L295" s="87"/>
      <c r="M295" s="87"/>
      <c r="N295" s="87"/>
      <c r="O295" s="87"/>
      <c r="P295" s="88"/>
    </row>
  </sheetData>
  <sheetProtection formatCells="0" formatColumns="0" formatRows="0" insertColumns="0"/>
  <mergeCells count="1">
    <mergeCell ref="C3:C42"/>
  </mergeCell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tint="0.59999389629810485"/>
    <pageSetUpPr fitToPage="1"/>
  </sheetPr>
  <dimension ref="A1:V295"/>
  <sheetViews>
    <sheetView workbookViewId="0">
      <pane xSplit="3" ySplit="2" topLeftCell="D3" activePane="bottomRight" state="frozen"/>
      <selection activeCell="J45" sqref="J45"/>
      <selection pane="topRight" activeCell="J45" sqref="J45"/>
      <selection pane="bottomLeft" activeCell="J45" sqref="J45"/>
      <selection pane="bottomRight" activeCell="J42" sqref="J42"/>
    </sheetView>
  </sheetViews>
  <sheetFormatPr baseColWidth="10" defaultColWidth="20.85546875" defaultRowHeight="12" x14ac:dyDescent="0"/>
  <cols>
    <col min="1" max="1" width="3.5703125" style="23" customWidth="1"/>
    <col min="2" max="2" width="32.42578125" style="4" customWidth="1"/>
    <col min="3" max="3" width="10.140625" style="4" customWidth="1"/>
    <col min="4" max="15" width="9.7109375" style="25" customWidth="1"/>
    <col min="16" max="16" width="44.85546875" style="3" customWidth="1"/>
    <col min="17" max="17" width="9.7109375" style="127" customWidth="1"/>
    <col min="18" max="18" width="10.140625" style="127" customWidth="1"/>
    <col min="19" max="22" width="8.7109375" style="127" customWidth="1"/>
    <col min="23" max="16384" width="20.85546875" style="86"/>
  </cols>
  <sheetData>
    <row r="1" spans="1:22" ht="27" customHeight="1">
      <c r="A1" s="1">
        <v>1</v>
      </c>
      <c r="B1" s="64" t="s">
        <v>163</v>
      </c>
      <c r="C1" s="401" t="s">
        <v>357</v>
      </c>
      <c r="D1" s="81" t="str">
        <f>Ex12_13!D1</f>
        <v>NN</v>
      </c>
      <c r="E1" s="79" t="str">
        <f>D1</f>
        <v>NN</v>
      </c>
      <c r="F1" s="79" t="str">
        <f t="shared" ref="F1:O1" si="0">E1</f>
        <v>NN</v>
      </c>
      <c r="G1" s="79" t="str">
        <f t="shared" si="0"/>
        <v>NN</v>
      </c>
      <c r="H1" s="79" t="str">
        <f t="shared" si="0"/>
        <v>NN</v>
      </c>
      <c r="I1" s="79" t="str">
        <f t="shared" si="0"/>
        <v>NN</v>
      </c>
      <c r="J1" s="79" t="str">
        <f t="shared" si="0"/>
        <v>NN</v>
      </c>
      <c r="K1" s="79" t="str">
        <f t="shared" si="0"/>
        <v>NN</v>
      </c>
      <c r="L1" s="79" t="str">
        <f t="shared" si="0"/>
        <v>NN</v>
      </c>
      <c r="M1" s="79" t="str">
        <f t="shared" si="0"/>
        <v>NN</v>
      </c>
      <c r="N1" s="79" t="str">
        <f t="shared" si="0"/>
        <v>NN</v>
      </c>
      <c r="O1" s="79" t="str">
        <f t="shared" si="0"/>
        <v>NN</v>
      </c>
      <c r="P1" s="3" t="s">
        <v>198</v>
      </c>
      <c r="Q1" s="92"/>
      <c r="R1" s="92"/>
      <c r="S1" s="92"/>
      <c r="T1" s="92"/>
      <c r="U1" s="92"/>
      <c r="V1" s="92"/>
    </row>
    <row r="2" spans="1:22" ht="14" customHeight="1">
      <c r="A2" s="5">
        <f t="shared" ref="A2:A44" si="1">A1+1</f>
        <v>2</v>
      </c>
      <c r="B2" s="94" t="s">
        <v>44</v>
      </c>
      <c r="C2" s="242" t="s">
        <v>358</v>
      </c>
      <c r="D2" s="78" t="str">
        <f>"AUG 13"</f>
        <v>AUG 13</v>
      </c>
      <c r="E2" s="78" t="str">
        <f>"SEP13"</f>
        <v>SEP13</v>
      </c>
      <c r="F2" s="78" t="str">
        <f>"OKT 13"</f>
        <v>OKT 13</v>
      </c>
      <c r="G2" s="78" t="str">
        <f>"NOV 13"</f>
        <v>NOV 13</v>
      </c>
      <c r="H2" s="78" t="str">
        <f>"DEC 13"</f>
        <v>DEC 13</v>
      </c>
      <c r="I2" s="78" t="str">
        <f>"JAN 14"</f>
        <v>JAN 14</v>
      </c>
      <c r="J2" s="78" t="str">
        <f>"FEB 14"</f>
        <v>FEB 14</v>
      </c>
      <c r="K2" s="78" t="str">
        <f>"MAR 14"</f>
        <v>MAR 14</v>
      </c>
      <c r="L2" s="265" t="str">
        <f>"APR 14"</f>
        <v>APR 14</v>
      </c>
      <c r="M2" s="265" t="str">
        <f>"MAJ14"</f>
        <v>MAJ14</v>
      </c>
      <c r="N2" s="265" t="str">
        <f>"JUN 14"</f>
        <v>JUN 14</v>
      </c>
      <c r="O2" s="265" t="str">
        <f>"JUL 14"</f>
        <v>JUL 14</v>
      </c>
      <c r="P2" s="263" t="str">
        <f>Ex12_13!P2</f>
        <v>ansat 14. feb 10</v>
      </c>
      <c r="Q2" s="92"/>
      <c r="R2" s="92"/>
      <c r="S2" s="92"/>
      <c r="T2" s="92"/>
      <c r="U2" s="92"/>
      <c r="V2" s="92"/>
    </row>
    <row r="3" spans="1:22" ht="27" customHeight="1">
      <c r="A3" s="5">
        <f t="shared" si="1"/>
        <v>3</v>
      </c>
      <c r="B3" s="168" t="s">
        <v>45</v>
      </c>
      <c r="C3" s="642" t="s">
        <v>75</v>
      </c>
      <c r="D3" s="196">
        <v>1</v>
      </c>
      <c r="E3" s="246">
        <f>D3</f>
        <v>1</v>
      </c>
      <c r="F3" s="246">
        <f t="shared" ref="F3:M3" si="2">E3</f>
        <v>1</v>
      </c>
      <c r="G3" s="246">
        <f t="shared" si="2"/>
        <v>1</v>
      </c>
      <c r="H3" s="246">
        <f t="shared" si="2"/>
        <v>1</v>
      </c>
      <c r="I3" s="246">
        <f t="shared" si="2"/>
        <v>1</v>
      </c>
      <c r="J3" s="246">
        <f t="shared" si="2"/>
        <v>1</v>
      </c>
      <c r="K3" s="246">
        <f t="shared" si="2"/>
        <v>1</v>
      </c>
      <c r="L3" s="246">
        <f t="shared" si="2"/>
        <v>1</v>
      </c>
      <c r="M3" s="246">
        <f t="shared" si="2"/>
        <v>1</v>
      </c>
      <c r="N3" s="247">
        <f>M3</f>
        <v>1</v>
      </c>
      <c r="O3" s="247">
        <f>N3</f>
        <v>1</v>
      </c>
      <c r="P3" s="7" t="s">
        <v>375</v>
      </c>
      <c r="Q3" s="92"/>
      <c r="R3" s="92"/>
      <c r="S3" s="92"/>
      <c r="T3" s="92"/>
      <c r="U3" s="92"/>
      <c r="V3" s="92"/>
    </row>
    <row r="4" spans="1:22" ht="14" customHeight="1">
      <c r="A4" s="5">
        <f t="shared" si="1"/>
        <v>4</v>
      </c>
      <c r="B4" s="169" t="s">
        <v>362</v>
      </c>
      <c r="C4" s="651"/>
      <c r="D4" s="197" t="str">
        <f>Ex12_13!O4</f>
        <v>Bh2</v>
      </c>
      <c r="E4" s="248" t="str">
        <f>D4</f>
        <v>Bh2</v>
      </c>
      <c r="F4" s="248" t="str">
        <f t="shared" ref="F4:O4" si="3">E4</f>
        <v>Bh2</v>
      </c>
      <c r="G4" s="248" t="str">
        <f t="shared" si="3"/>
        <v>Bh2</v>
      </c>
      <c r="H4" s="248" t="str">
        <f t="shared" si="3"/>
        <v>Bh2</v>
      </c>
      <c r="I4" s="248" t="str">
        <f t="shared" si="3"/>
        <v>Bh2</v>
      </c>
      <c r="J4" s="248" t="str">
        <f t="shared" si="3"/>
        <v>Bh2</v>
      </c>
      <c r="K4" s="248" t="str">
        <f t="shared" si="3"/>
        <v>Bh2</v>
      </c>
      <c r="L4" s="248" t="str">
        <f t="shared" si="3"/>
        <v>Bh2</v>
      </c>
      <c r="M4" s="248" t="str">
        <f t="shared" si="3"/>
        <v>Bh2</v>
      </c>
      <c r="N4" s="248" t="str">
        <f t="shared" si="3"/>
        <v>Bh2</v>
      </c>
      <c r="O4" s="248" t="str">
        <f t="shared" si="3"/>
        <v>Bh2</v>
      </c>
      <c r="P4" s="7" t="s">
        <v>216</v>
      </c>
      <c r="Q4" s="92"/>
      <c r="R4" s="92"/>
      <c r="S4" s="92"/>
      <c r="T4" s="92"/>
      <c r="U4" s="92"/>
      <c r="V4" s="92"/>
    </row>
    <row r="5" spans="1:22" ht="24" customHeight="1">
      <c r="A5" s="5">
        <f>A4+1</f>
        <v>5</v>
      </c>
      <c r="B5" s="169" t="s">
        <v>123</v>
      </c>
      <c r="C5" s="651"/>
      <c r="D5" s="197" t="s">
        <v>288</v>
      </c>
      <c r="E5" s="80" t="str">
        <f>$D5</f>
        <v>L</v>
      </c>
      <c r="F5" s="80" t="str">
        <f t="shared" ref="F5:O7" si="4">$D5</f>
        <v>L</v>
      </c>
      <c r="G5" s="80" t="str">
        <f t="shared" si="4"/>
        <v>L</v>
      </c>
      <c r="H5" s="80" t="str">
        <f t="shared" si="4"/>
        <v>L</v>
      </c>
      <c r="I5" s="80" t="str">
        <f t="shared" si="4"/>
        <v>L</v>
      </c>
      <c r="J5" s="80" t="str">
        <f t="shared" si="4"/>
        <v>L</v>
      </c>
      <c r="K5" s="80" t="str">
        <f t="shared" si="4"/>
        <v>L</v>
      </c>
      <c r="L5" s="80" t="str">
        <f t="shared" si="4"/>
        <v>L</v>
      </c>
      <c r="M5" s="80" t="str">
        <f t="shared" si="4"/>
        <v>L</v>
      </c>
      <c r="N5" s="80" t="str">
        <f t="shared" si="4"/>
        <v>L</v>
      </c>
      <c r="O5" s="80" t="str">
        <f t="shared" si="4"/>
        <v>L</v>
      </c>
      <c r="P5" s="7" t="s">
        <v>18</v>
      </c>
      <c r="Q5" s="92"/>
      <c r="R5" s="92"/>
      <c r="S5" s="92"/>
      <c r="T5" s="92"/>
      <c r="U5" s="92"/>
      <c r="V5" s="92"/>
    </row>
    <row r="6" spans="1:22" ht="14" customHeight="1">
      <c r="A6" s="5">
        <f t="shared" si="1"/>
        <v>6</v>
      </c>
      <c r="B6" s="169" t="s">
        <v>223</v>
      </c>
      <c r="C6" s="651"/>
      <c r="D6" s="350">
        <v>1.0130399999999999</v>
      </c>
      <c r="E6" s="350">
        <v>1.0130399999999999</v>
      </c>
      <c r="F6" s="350">
        <v>1.0130399999999999</v>
      </c>
      <c r="G6" s="350">
        <v>1.0130399999999999</v>
      </c>
      <c r="H6" s="350">
        <v>1.0130399999999999</v>
      </c>
      <c r="I6" s="350">
        <v>1.0130399999999999</v>
      </c>
      <c r="J6" s="350">
        <v>1.0130399999999999</v>
      </c>
      <c r="K6" s="350">
        <v>1.0130399999999999</v>
      </c>
      <c r="L6" s="399">
        <v>1.0900000000000001</v>
      </c>
      <c r="M6" s="71">
        <f>L6</f>
        <v>1.0900000000000001</v>
      </c>
      <c r="N6" s="71">
        <f>M6</f>
        <v>1.0900000000000001</v>
      </c>
      <c r="O6" s="71">
        <f>N6</f>
        <v>1.0900000000000001</v>
      </c>
      <c r="P6" s="72" t="s">
        <v>195</v>
      </c>
      <c r="Q6" s="92"/>
      <c r="R6" s="92"/>
      <c r="S6" s="92"/>
      <c r="T6" s="92"/>
      <c r="U6" s="92"/>
      <c r="V6" s="92"/>
    </row>
    <row r="7" spans="1:22" ht="14" customHeight="1">
      <c r="A7" s="5">
        <f t="shared" si="1"/>
        <v>7</v>
      </c>
      <c r="B7" s="169" t="s">
        <v>139</v>
      </c>
      <c r="C7" s="651"/>
      <c r="D7" s="199">
        <f>Ex12_13!D8</f>
        <v>3</v>
      </c>
      <c r="E7" s="80">
        <f>$D7</f>
        <v>3</v>
      </c>
      <c r="F7" s="80">
        <f t="shared" si="4"/>
        <v>3</v>
      </c>
      <c r="G7" s="80">
        <f t="shared" si="4"/>
        <v>3</v>
      </c>
      <c r="H7" s="80">
        <f t="shared" si="4"/>
        <v>3</v>
      </c>
      <c r="I7" s="80">
        <f t="shared" si="4"/>
        <v>3</v>
      </c>
      <c r="J7" s="80">
        <f t="shared" si="4"/>
        <v>3</v>
      </c>
      <c r="K7" s="80">
        <f t="shared" si="4"/>
        <v>3</v>
      </c>
      <c r="L7" s="80">
        <f t="shared" si="4"/>
        <v>3</v>
      </c>
      <c r="M7" s="80">
        <f t="shared" si="4"/>
        <v>3</v>
      </c>
      <c r="N7" s="80">
        <f t="shared" si="4"/>
        <v>3</v>
      </c>
      <c r="O7" s="80">
        <f t="shared" si="4"/>
        <v>3</v>
      </c>
      <c r="P7" s="3" t="s">
        <v>108</v>
      </c>
      <c r="Q7" s="92"/>
      <c r="R7" s="92"/>
      <c r="S7" s="92"/>
      <c r="T7" s="92"/>
      <c r="U7" s="92"/>
      <c r="V7" s="92"/>
    </row>
    <row r="8" spans="1:22" ht="24">
      <c r="A8" s="5">
        <f>A7+1</f>
        <v>8</v>
      </c>
      <c r="B8" s="169" t="s">
        <v>42</v>
      </c>
      <c r="C8" s="651"/>
      <c r="D8" s="419">
        <v>0.8</v>
      </c>
      <c r="E8" s="249">
        <f>D8</f>
        <v>0.8</v>
      </c>
      <c r="F8" s="249">
        <f t="shared" ref="F8:O11" si="5">E8</f>
        <v>0.8</v>
      </c>
      <c r="G8" s="249">
        <f t="shared" si="5"/>
        <v>0.8</v>
      </c>
      <c r="H8" s="249">
        <f t="shared" si="5"/>
        <v>0.8</v>
      </c>
      <c r="I8" s="249">
        <f t="shared" si="5"/>
        <v>0.8</v>
      </c>
      <c r="J8" s="249">
        <f t="shared" si="5"/>
        <v>0.8</v>
      </c>
      <c r="K8" s="249">
        <f t="shared" si="5"/>
        <v>0.8</v>
      </c>
      <c r="L8" s="249">
        <f t="shared" si="5"/>
        <v>0.8</v>
      </c>
      <c r="M8" s="249">
        <f t="shared" si="5"/>
        <v>0.8</v>
      </c>
      <c r="N8" s="249">
        <f t="shared" si="5"/>
        <v>0.8</v>
      </c>
      <c r="O8" s="249">
        <f t="shared" si="5"/>
        <v>0.8</v>
      </c>
      <c r="P8" s="7" t="s">
        <v>82</v>
      </c>
      <c r="Q8" s="92"/>
      <c r="R8" s="92"/>
      <c r="S8" s="92"/>
      <c r="T8" s="92"/>
      <c r="U8" s="92"/>
      <c r="V8" s="92"/>
    </row>
    <row r="9" spans="1:22" ht="24" customHeight="1">
      <c r="A9" s="5">
        <f t="shared" si="1"/>
        <v>9</v>
      </c>
      <c r="B9" s="169" t="s">
        <v>225</v>
      </c>
      <c r="C9" s="651"/>
      <c r="D9" s="200">
        <f>Ex12_13!D10</f>
        <v>660</v>
      </c>
      <c r="E9" s="250">
        <f>D9</f>
        <v>660</v>
      </c>
      <c r="F9" s="250">
        <f t="shared" si="5"/>
        <v>660</v>
      </c>
      <c r="G9" s="250">
        <f t="shared" si="5"/>
        <v>660</v>
      </c>
      <c r="H9" s="250">
        <f t="shared" si="5"/>
        <v>660</v>
      </c>
      <c r="I9" s="250">
        <f t="shared" si="5"/>
        <v>660</v>
      </c>
      <c r="J9" s="250">
        <f t="shared" si="5"/>
        <v>660</v>
      </c>
      <c r="K9" s="250">
        <f t="shared" si="5"/>
        <v>660</v>
      </c>
      <c r="L9" s="250">
        <f t="shared" si="5"/>
        <v>660</v>
      </c>
      <c r="M9" s="250">
        <f t="shared" si="5"/>
        <v>660</v>
      </c>
      <c r="N9" s="250">
        <f t="shared" si="5"/>
        <v>660</v>
      </c>
      <c r="O9" s="250">
        <f t="shared" si="5"/>
        <v>660</v>
      </c>
      <c r="P9" s="7" t="s">
        <v>76</v>
      </c>
      <c r="Q9" s="92"/>
      <c r="R9" s="92"/>
      <c r="S9" s="92"/>
      <c r="T9" s="92"/>
      <c r="U9" s="92"/>
      <c r="V9" s="92"/>
    </row>
    <row r="10" spans="1:22" ht="24" customHeight="1">
      <c r="A10" s="5">
        <f t="shared" si="1"/>
        <v>10</v>
      </c>
      <c r="B10" s="171" t="s">
        <v>359</v>
      </c>
      <c r="C10" s="651"/>
      <c r="D10" s="201"/>
      <c r="E10" s="251">
        <f>D10</f>
        <v>0</v>
      </c>
      <c r="F10" s="251">
        <f t="shared" si="5"/>
        <v>0</v>
      </c>
      <c r="G10" s="251">
        <f t="shared" si="5"/>
        <v>0</v>
      </c>
      <c r="H10" s="251">
        <f t="shared" si="5"/>
        <v>0</v>
      </c>
      <c r="I10" s="251">
        <f t="shared" si="5"/>
        <v>0</v>
      </c>
      <c r="J10" s="251">
        <f t="shared" si="5"/>
        <v>0</v>
      </c>
      <c r="K10" s="251">
        <f t="shared" si="5"/>
        <v>0</v>
      </c>
      <c r="L10" s="251">
        <f t="shared" si="5"/>
        <v>0</v>
      </c>
      <c r="M10" s="251">
        <f t="shared" si="5"/>
        <v>0</v>
      </c>
      <c r="N10" s="251">
        <f t="shared" si="5"/>
        <v>0</v>
      </c>
      <c r="O10" s="251">
        <f t="shared" si="5"/>
        <v>0</v>
      </c>
      <c r="P10" s="13" t="s">
        <v>360</v>
      </c>
      <c r="Q10" s="92"/>
      <c r="R10" s="92"/>
      <c r="S10" s="92"/>
      <c r="T10" s="92"/>
      <c r="U10" s="92"/>
      <c r="V10" s="92"/>
    </row>
    <row r="11" spans="1:22" ht="24" customHeight="1">
      <c r="A11" s="5">
        <f t="shared" si="1"/>
        <v>11</v>
      </c>
      <c r="B11" s="172" t="s">
        <v>271</v>
      </c>
      <c r="C11" s="651"/>
      <c r="D11" s="201"/>
      <c r="E11" s="251">
        <f>D11</f>
        <v>0</v>
      </c>
      <c r="F11" s="251">
        <f t="shared" si="5"/>
        <v>0</v>
      </c>
      <c r="G11" s="251">
        <f t="shared" si="5"/>
        <v>0</v>
      </c>
      <c r="H11" s="251">
        <f t="shared" si="5"/>
        <v>0</v>
      </c>
      <c r="I11" s="251">
        <f t="shared" si="5"/>
        <v>0</v>
      </c>
      <c r="J11" s="251">
        <f t="shared" si="5"/>
        <v>0</v>
      </c>
      <c r="K11" s="251">
        <f t="shared" si="5"/>
        <v>0</v>
      </c>
      <c r="L11" s="251">
        <f t="shared" si="5"/>
        <v>0</v>
      </c>
      <c r="M11" s="251">
        <f t="shared" si="5"/>
        <v>0</v>
      </c>
      <c r="N11" s="251">
        <f t="shared" si="5"/>
        <v>0</v>
      </c>
      <c r="O11" s="251">
        <f t="shared" si="5"/>
        <v>0</v>
      </c>
      <c r="P11" s="3" t="s">
        <v>361</v>
      </c>
      <c r="Q11" s="92"/>
      <c r="R11" s="92"/>
      <c r="S11" s="92"/>
      <c r="T11" s="92"/>
      <c r="U11" s="92"/>
      <c r="V11" s="92"/>
    </row>
    <row r="12" spans="1:22" ht="24" customHeight="1">
      <c r="A12" s="5">
        <f>A11+1</f>
        <v>12</v>
      </c>
      <c r="B12" s="173" t="s">
        <v>271</v>
      </c>
      <c r="C12" s="651"/>
      <c r="D12" s="202"/>
      <c r="E12" s="252">
        <f t="shared" ref="E12:O20" si="6">D12</f>
        <v>0</v>
      </c>
      <c r="F12" s="252">
        <f t="shared" si="6"/>
        <v>0</v>
      </c>
      <c r="G12" s="252">
        <f t="shared" si="6"/>
        <v>0</v>
      </c>
      <c r="H12" s="252">
        <f t="shared" si="6"/>
        <v>0</v>
      </c>
      <c r="I12" s="252">
        <f t="shared" si="6"/>
        <v>0</v>
      </c>
      <c r="J12" s="252">
        <f t="shared" si="6"/>
        <v>0</v>
      </c>
      <c r="K12" s="252">
        <f t="shared" si="6"/>
        <v>0</v>
      </c>
      <c r="L12" s="252">
        <f t="shared" si="6"/>
        <v>0</v>
      </c>
      <c r="M12" s="252">
        <f t="shared" si="6"/>
        <v>0</v>
      </c>
      <c r="N12" s="252">
        <f t="shared" si="6"/>
        <v>0</v>
      </c>
      <c r="O12" s="252">
        <f t="shared" si="6"/>
        <v>0</v>
      </c>
      <c r="P12" s="3" t="s">
        <v>361</v>
      </c>
      <c r="Q12" s="92"/>
      <c r="R12" s="92"/>
      <c r="S12" s="92"/>
      <c r="T12" s="92"/>
      <c r="U12" s="92"/>
      <c r="V12" s="92"/>
    </row>
    <row r="13" spans="1:22" ht="24" customHeight="1">
      <c r="A13" s="5">
        <f t="shared" si="1"/>
        <v>13</v>
      </c>
      <c r="B13" s="174" t="s">
        <v>271</v>
      </c>
      <c r="C13" s="651"/>
      <c r="D13" s="203"/>
      <c r="E13" s="253">
        <f t="shared" si="6"/>
        <v>0</v>
      </c>
      <c r="F13" s="253">
        <f t="shared" si="6"/>
        <v>0</v>
      </c>
      <c r="G13" s="253">
        <f t="shared" si="6"/>
        <v>0</v>
      </c>
      <c r="H13" s="253">
        <f t="shared" si="6"/>
        <v>0</v>
      </c>
      <c r="I13" s="253">
        <f t="shared" si="6"/>
        <v>0</v>
      </c>
      <c r="J13" s="253">
        <f t="shared" si="6"/>
        <v>0</v>
      </c>
      <c r="K13" s="253">
        <f t="shared" si="6"/>
        <v>0</v>
      </c>
      <c r="L13" s="253">
        <f t="shared" si="6"/>
        <v>0</v>
      </c>
      <c r="M13" s="253">
        <f t="shared" si="6"/>
        <v>0</v>
      </c>
      <c r="N13" s="253">
        <f t="shared" si="6"/>
        <v>0</v>
      </c>
      <c r="O13" s="253">
        <f t="shared" si="6"/>
        <v>0</v>
      </c>
      <c r="P13" s="3" t="s">
        <v>361</v>
      </c>
      <c r="Q13" s="92"/>
      <c r="R13" s="92"/>
      <c r="S13" s="92"/>
      <c r="T13" s="92"/>
      <c r="U13" s="92"/>
      <c r="V13" s="92"/>
    </row>
    <row r="14" spans="1:22" ht="24" customHeight="1">
      <c r="A14" s="5">
        <f t="shared" si="1"/>
        <v>14</v>
      </c>
      <c r="B14" s="175" t="s">
        <v>201</v>
      </c>
      <c r="C14" s="651"/>
      <c r="D14" s="204"/>
      <c r="E14" s="254">
        <f t="shared" si="6"/>
        <v>0</v>
      </c>
      <c r="F14" s="254">
        <f t="shared" si="6"/>
        <v>0</v>
      </c>
      <c r="G14" s="254">
        <f t="shared" si="6"/>
        <v>0</v>
      </c>
      <c r="H14" s="254">
        <f t="shared" si="6"/>
        <v>0</v>
      </c>
      <c r="I14" s="254">
        <f t="shared" si="6"/>
        <v>0</v>
      </c>
      <c r="J14" s="254">
        <f t="shared" si="6"/>
        <v>0</v>
      </c>
      <c r="K14" s="254">
        <f t="shared" si="6"/>
        <v>0</v>
      </c>
      <c r="L14" s="254">
        <f t="shared" si="6"/>
        <v>0</v>
      </c>
      <c r="M14" s="254">
        <f t="shared" si="6"/>
        <v>0</v>
      </c>
      <c r="N14" s="254">
        <f t="shared" si="6"/>
        <v>0</v>
      </c>
      <c r="O14" s="254">
        <f t="shared" si="6"/>
        <v>0</v>
      </c>
      <c r="P14" s="3" t="s">
        <v>361</v>
      </c>
      <c r="Q14" s="92"/>
      <c r="R14" s="92"/>
      <c r="S14" s="92"/>
      <c r="T14" s="92"/>
      <c r="U14" s="92"/>
      <c r="V14" s="92"/>
    </row>
    <row r="15" spans="1:22" ht="24" customHeight="1">
      <c r="A15" s="5">
        <f t="shared" si="1"/>
        <v>15</v>
      </c>
      <c r="B15" s="172" t="s">
        <v>202</v>
      </c>
      <c r="C15" s="651"/>
      <c r="D15" s="421">
        <v>14700</v>
      </c>
      <c r="E15" s="251">
        <f t="shared" si="6"/>
        <v>14700</v>
      </c>
      <c r="F15" s="251">
        <f t="shared" si="6"/>
        <v>14700</v>
      </c>
      <c r="G15" s="251">
        <f t="shared" si="6"/>
        <v>14700</v>
      </c>
      <c r="H15" s="251">
        <f t="shared" si="6"/>
        <v>14700</v>
      </c>
      <c r="I15" s="251">
        <f t="shared" si="6"/>
        <v>14700</v>
      </c>
      <c r="J15" s="251">
        <f t="shared" si="6"/>
        <v>14700</v>
      </c>
      <c r="K15" s="251">
        <f t="shared" si="6"/>
        <v>14700</v>
      </c>
      <c r="L15" s="251">
        <f t="shared" si="6"/>
        <v>14700</v>
      </c>
      <c r="M15" s="251">
        <f t="shared" si="6"/>
        <v>14700</v>
      </c>
      <c r="N15" s="251">
        <f t="shared" si="6"/>
        <v>14700</v>
      </c>
      <c r="O15" s="251">
        <f t="shared" si="6"/>
        <v>14700</v>
      </c>
      <c r="P15" s="3" t="s">
        <v>361</v>
      </c>
      <c r="Q15" s="92"/>
      <c r="R15" s="92"/>
      <c r="S15" s="92"/>
      <c r="T15" s="92"/>
      <c r="U15" s="92"/>
      <c r="V15" s="92"/>
    </row>
    <row r="16" spans="1:22" ht="24" customHeight="1">
      <c r="A16" s="5">
        <f>A15+1</f>
        <v>16</v>
      </c>
      <c r="B16" s="176" t="s">
        <v>364</v>
      </c>
      <c r="C16" s="651"/>
      <c r="D16" s="200"/>
      <c r="E16" s="252">
        <f t="shared" si="6"/>
        <v>0</v>
      </c>
      <c r="F16" s="252">
        <f t="shared" si="6"/>
        <v>0</v>
      </c>
      <c r="G16" s="252">
        <f t="shared" si="6"/>
        <v>0</v>
      </c>
      <c r="H16" s="252">
        <f t="shared" si="6"/>
        <v>0</v>
      </c>
      <c r="I16" s="252">
        <f t="shared" si="6"/>
        <v>0</v>
      </c>
      <c r="J16" s="252">
        <f t="shared" si="6"/>
        <v>0</v>
      </c>
      <c r="K16" s="252">
        <f t="shared" si="6"/>
        <v>0</v>
      </c>
      <c r="L16" s="252">
        <f t="shared" si="6"/>
        <v>0</v>
      </c>
      <c r="M16" s="252">
        <f t="shared" si="6"/>
        <v>0</v>
      </c>
      <c r="N16" s="252">
        <f t="shared" si="6"/>
        <v>0</v>
      </c>
      <c r="O16" s="252">
        <f t="shared" si="6"/>
        <v>0</v>
      </c>
      <c r="P16" s="3" t="s">
        <v>361</v>
      </c>
      <c r="Q16" s="92"/>
      <c r="R16" s="92"/>
      <c r="S16" s="92"/>
      <c r="T16" s="92"/>
      <c r="U16" s="92"/>
      <c r="V16" s="92"/>
    </row>
    <row r="17" spans="1:22" ht="24" customHeight="1">
      <c r="A17" s="75">
        <f>A16+1</f>
        <v>17</v>
      </c>
      <c r="B17" s="416" t="s">
        <v>363</v>
      </c>
      <c r="C17" s="651"/>
      <c r="D17" s="201"/>
      <c r="E17" s="417">
        <f t="shared" si="6"/>
        <v>0</v>
      </c>
      <c r="F17" s="417">
        <f t="shared" si="6"/>
        <v>0</v>
      </c>
      <c r="G17" s="417">
        <f t="shared" si="6"/>
        <v>0</v>
      </c>
      <c r="H17" s="417">
        <f t="shared" si="6"/>
        <v>0</v>
      </c>
      <c r="I17" s="417">
        <f t="shared" si="6"/>
        <v>0</v>
      </c>
      <c r="J17" s="417">
        <f t="shared" si="6"/>
        <v>0</v>
      </c>
      <c r="K17" s="417">
        <f t="shared" si="6"/>
        <v>0</v>
      </c>
      <c r="L17" s="417">
        <f t="shared" si="6"/>
        <v>0</v>
      </c>
      <c r="M17" s="417">
        <f t="shared" si="6"/>
        <v>0</v>
      </c>
      <c r="N17" s="417">
        <f t="shared" si="6"/>
        <v>0</v>
      </c>
      <c r="O17" s="417">
        <f t="shared" si="6"/>
        <v>0</v>
      </c>
      <c r="P17" s="7" t="s">
        <v>366</v>
      </c>
      <c r="Q17" s="92"/>
      <c r="R17" s="92"/>
      <c r="S17" s="92"/>
      <c r="T17" s="92"/>
      <c r="U17" s="92"/>
      <c r="V17" s="92"/>
    </row>
    <row r="18" spans="1:22" ht="24" customHeight="1">
      <c r="A18" s="5">
        <f>A17+1</f>
        <v>18</v>
      </c>
      <c r="B18" s="174" t="s">
        <v>217</v>
      </c>
      <c r="C18" s="651"/>
      <c r="D18" s="205"/>
      <c r="E18" s="255">
        <f t="shared" si="6"/>
        <v>0</v>
      </c>
      <c r="F18" s="255">
        <f t="shared" si="6"/>
        <v>0</v>
      </c>
      <c r="G18" s="255">
        <f t="shared" si="6"/>
        <v>0</v>
      </c>
      <c r="H18" s="255">
        <f t="shared" si="6"/>
        <v>0</v>
      </c>
      <c r="I18" s="255">
        <f t="shared" si="6"/>
        <v>0</v>
      </c>
      <c r="J18" s="255">
        <f t="shared" si="6"/>
        <v>0</v>
      </c>
      <c r="K18" s="255">
        <f t="shared" si="6"/>
        <v>0</v>
      </c>
      <c r="L18" s="255">
        <f t="shared" si="6"/>
        <v>0</v>
      </c>
      <c r="M18" s="255">
        <f t="shared" si="6"/>
        <v>0</v>
      </c>
      <c r="N18" s="255">
        <f t="shared" si="6"/>
        <v>0</v>
      </c>
      <c r="O18" s="255">
        <f t="shared" si="6"/>
        <v>0</v>
      </c>
      <c r="P18" s="7" t="s">
        <v>365</v>
      </c>
      <c r="Q18" s="92"/>
      <c r="R18" s="92"/>
      <c r="S18" s="92"/>
      <c r="T18" s="92"/>
      <c r="U18" s="92"/>
      <c r="V18" s="92"/>
    </row>
    <row r="19" spans="1:22" ht="24" customHeight="1">
      <c r="A19" s="5">
        <f t="shared" si="1"/>
        <v>19</v>
      </c>
      <c r="B19" s="177" t="s">
        <v>218</v>
      </c>
      <c r="C19" s="651"/>
      <c r="D19" s="206" t="s">
        <v>237</v>
      </c>
      <c r="E19" s="256" t="str">
        <f>D19</f>
        <v>NEJ</v>
      </c>
      <c r="F19" s="256" t="str">
        <f t="shared" si="6"/>
        <v>NEJ</v>
      </c>
      <c r="G19" s="256" t="str">
        <f t="shared" si="6"/>
        <v>NEJ</v>
      </c>
      <c r="H19" s="256" t="str">
        <f t="shared" si="6"/>
        <v>NEJ</v>
      </c>
      <c r="I19" s="256" t="str">
        <f t="shared" si="6"/>
        <v>NEJ</v>
      </c>
      <c r="J19" s="256" t="str">
        <f t="shared" si="6"/>
        <v>NEJ</v>
      </c>
      <c r="K19" s="256" t="str">
        <f t="shared" si="6"/>
        <v>NEJ</v>
      </c>
      <c r="L19" s="256" t="str">
        <f t="shared" si="6"/>
        <v>NEJ</v>
      </c>
      <c r="M19" s="256" t="str">
        <f t="shared" si="6"/>
        <v>NEJ</v>
      </c>
      <c r="N19" s="256" t="str">
        <f t="shared" si="6"/>
        <v>NEJ</v>
      </c>
      <c r="O19" s="256" t="str">
        <f t="shared" si="6"/>
        <v>NEJ</v>
      </c>
      <c r="P19" s="7" t="s">
        <v>200</v>
      </c>
      <c r="Q19" s="92"/>
      <c r="R19" s="92"/>
      <c r="S19" s="92"/>
      <c r="T19" s="92"/>
      <c r="U19" s="92"/>
      <c r="V19" s="92"/>
    </row>
    <row r="20" spans="1:22" ht="14" customHeight="1">
      <c r="A20" s="5">
        <f t="shared" si="1"/>
        <v>20</v>
      </c>
      <c r="B20" s="178" t="s">
        <v>267</v>
      </c>
      <c r="C20" s="651"/>
      <c r="D20" s="207"/>
      <c r="E20" s="257">
        <f>D20</f>
        <v>0</v>
      </c>
      <c r="F20" s="257">
        <f t="shared" si="6"/>
        <v>0</v>
      </c>
      <c r="G20" s="257">
        <f t="shared" si="6"/>
        <v>0</v>
      </c>
      <c r="H20" s="257">
        <f t="shared" si="6"/>
        <v>0</v>
      </c>
      <c r="I20" s="257">
        <f t="shared" si="6"/>
        <v>0</v>
      </c>
      <c r="J20" s="257">
        <f t="shared" si="6"/>
        <v>0</v>
      </c>
      <c r="K20" s="257">
        <f t="shared" si="6"/>
        <v>0</v>
      </c>
      <c r="L20" s="257">
        <f>K20</f>
        <v>0</v>
      </c>
      <c r="M20" s="257">
        <f t="shared" si="6"/>
        <v>0</v>
      </c>
      <c r="N20" s="257">
        <f t="shared" si="6"/>
        <v>0</v>
      </c>
      <c r="O20" s="257">
        <f t="shared" si="6"/>
        <v>0</v>
      </c>
      <c r="P20" s="148" t="s">
        <v>165</v>
      </c>
      <c r="Q20" s="92"/>
      <c r="R20" s="92"/>
      <c r="S20" s="92"/>
      <c r="T20" s="92"/>
      <c r="U20" s="92"/>
      <c r="V20" s="92"/>
    </row>
    <row r="21" spans="1:22" ht="14" customHeight="1">
      <c r="A21" s="5">
        <f t="shared" si="1"/>
        <v>21</v>
      </c>
      <c r="B21" s="179" t="s">
        <v>231</v>
      </c>
      <c r="C21" s="651"/>
      <c r="D21" s="208">
        <v>5</v>
      </c>
      <c r="E21" s="152"/>
      <c r="F21" s="152"/>
      <c r="G21" s="152"/>
      <c r="H21" s="152"/>
      <c r="I21" s="152"/>
      <c r="J21" s="152"/>
      <c r="K21" s="152"/>
      <c r="L21" s="152"/>
      <c r="M21" s="152">
        <v>9.9999999999999995E-8</v>
      </c>
      <c r="N21" s="152"/>
      <c r="O21" s="152">
        <v>20</v>
      </c>
      <c r="P21" s="3" t="s">
        <v>232</v>
      </c>
      <c r="Q21" s="92"/>
      <c r="R21" s="92"/>
      <c r="S21" s="92"/>
      <c r="T21" s="92"/>
      <c r="U21" s="92"/>
      <c r="V21" s="92"/>
    </row>
    <row r="22" spans="1:22" ht="27" customHeight="1">
      <c r="A22" s="5">
        <f t="shared" si="1"/>
        <v>22</v>
      </c>
      <c r="B22" s="135" t="s">
        <v>240</v>
      </c>
      <c r="C22" s="651"/>
      <c r="D22" s="209">
        <v>0</v>
      </c>
      <c r="E22" s="153"/>
      <c r="F22" s="153"/>
      <c r="G22" s="153"/>
      <c r="H22" s="153"/>
      <c r="I22" s="153"/>
      <c r="J22" s="153"/>
      <c r="K22" s="153"/>
      <c r="L22" s="153"/>
      <c r="M22" s="153"/>
      <c r="N22" s="153"/>
      <c r="O22" s="153">
        <v>0</v>
      </c>
      <c r="P22" s="3" t="s">
        <v>370</v>
      </c>
      <c r="Q22" s="92"/>
      <c r="R22" s="92"/>
      <c r="S22" s="92"/>
      <c r="T22" s="92"/>
      <c r="U22" s="92"/>
      <c r="V22" s="92"/>
    </row>
    <row r="23" spans="1:22" ht="14" customHeight="1">
      <c r="A23" s="5">
        <f t="shared" si="1"/>
        <v>23</v>
      </c>
      <c r="B23" s="180" t="s">
        <v>346</v>
      </c>
      <c r="C23" s="643"/>
      <c r="D23" s="210">
        <f>Ex12_13!O24</f>
        <v>0.69414999999999993</v>
      </c>
      <c r="E23" s="258">
        <f t="shared" ref="E23:L23" si="7">D23</f>
        <v>0.69414999999999993</v>
      </c>
      <c r="F23" s="258">
        <f t="shared" si="7"/>
        <v>0.69414999999999993</v>
      </c>
      <c r="G23" s="258">
        <f t="shared" si="7"/>
        <v>0.69414999999999993</v>
      </c>
      <c r="H23" s="258">
        <f t="shared" si="7"/>
        <v>0.69414999999999993</v>
      </c>
      <c r="I23" s="258">
        <f t="shared" si="7"/>
        <v>0.69414999999999993</v>
      </c>
      <c r="J23" s="258">
        <f t="shared" si="7"/>
        <v>0.69414999999999993</v>
      </c>
      <c r="K23" s="258">
        <f t="shared" si="7"/>
        <v>0.69414999999999993</v>
      </c>
      <c r="L23" s="258">
        <f t="shared" si="7"/>
        <v>0.69414999999999993</v>
      </c>
      <c r="M23" s="166"/>
      <c r="N23" s="154"/>
      <c r="O23" s="154"/>
      <c r="P23" s="150" t="s">
        <v>270</v>
      </c>
      <c r="Q23" s="92"/>
      <c r="R23" s="92"/>
      <c r="S23" s="92"/>
      <c r="T23" s="92"/>
      <c r="U23" s="92"/>
      <c r="V23" s="92"/>
    </row>
    <row r="24" spans="1:22" ht="14" customHeight="1">
      <c r="A24" s="5">
        <f t="shared" si="1"/>
        <v>24</v>
      </c>
      <c r="B24" s="181" t="s">
        <v>369</v>
      </c>
      <c r="C24" s="643"/>
      <c r="D24" s="143" t="s">
        <v>221</v>
      </c>
      <c r="E24" s="155"/>
      <c r="F24" s="155"/>
      <c r="G24" s="155"/>
      <c r="H24" s="155"/>
      <c r="I24" s="155"/>
      <c r="J24" s="155"/>
      <c r="K24" s="155"/>
      <c r="L24" s="167"/>
      <c r="M24" s="420">
        <f>ROUND((7*0.74+5*0.8)/12,2)</f>
        <v>0.77</v>
      </c>
      <c r="N24" s="259">
        <f>M24</f>
        <v>0.77</v>
      </c>
      <c r="O24" s="259">
        <f>N24</f>
        <v>0.77</v>
      </c>
      <c r="P24" s="147" t="s">
        <v>269</v>
      </c>
      <c r="Q24" s="92"/>
      <c r="R24" s="92"/>
      <c r="S24" s="92"/>
      <c r="T24" s="92"/>
      <c r="U24" s="92"/>
      <c r="V24" s="92"/>
    </row>
    <row r="25" spans="1:22" ht="14" customHeight="1">
      <c r="A25" s="5">
        <f t="shared" si="1"/>
        <v>25</v>
      </c>
      <c r="B25" s="182" t="s">
        <v>211</v>
      </c>
      <c r="C25" s="643"/>
      <c r="D25" s="211"/>
      <c r="E25" s="129"/>
      <c r="F25" s="129"/>
      <c r="G25" s="129"/>
      <c r="H25" s="129"/>
      <c r="I25" s="129"/>
      <c r="J25" s="129"/>
      <c r="K25" s="129"/>
      <c r="L25" s="129"/>
      <c r="M25" s="129"/>
      <c r="N25" s="129"/>
      <c r="O25" s="129"/>
      <c r="P25" s="148" t="s">
        <v>264</v>
      </c>
      <c r="Q25" s="92"/>
      <c r="R25" s="92"/>
      <c r="S25" s="92"/>
      <c r="T25" s="92"/>
      <c r="U25" s="92"/>
      <c r="V25" s="92"/>
    </row>
    <row r="26" spans="1:22" ht="14" customHeight="1">
      <c r="A26" s="5">
        <f t="shared" si="1"/>
        <v>26</v>
      </c>
      <c r="B26" s="183" t="s">
        <v>212</v>
      </c>
      <c r="C26" s="643"/>
      <c r="D26" s="212">
        <f>Ex12_13!O26</f>
        <v>40</v>
      </c>
      <c r="E26" s="260">
        <f>D26</f>
        <v>40</v>
      </c>
      <c r="F26" s="260">
        <f t="shared" ref="F26:O27" si="8">E26</f>
        <v>40</v>
      </c>
      <c r="G26" s="260">
        <f t="shared" si="8"/>
        <v>40</v>
      </c>
      <c r="H26" s="260">
        <f t="shared" si="8"/>
        <v>40</v>
      </c>
      <c r="I26" s="260">
        <f t="shared" si="8"/>
        <v>40</v>
      </c>
      <c r="J26" s="260">
        <f t="shared" si="8"/>
        <v>40</v>
      </c>
      <c r="K26" s="260">
        <f t="shared" si="8"/>
        <v>40</v>
      </c>
      <c r="L26" s="260">
        <f t="shared" si="8"/>
        <v>40</v>
      </c>
      <c r="M26" s="260">
        <f t="shared" si="8"/>
        <v>40</v>
      </c>
      <c r="N26" s="260">
        <f t="shared" si="8"/>
        <v>40</v>
      </c>
      <c r="O26" s="260">
        <f t="shared" si="8"/>
        <v>40</v>
      </c>
      <c r="P26" s="3" t="s">
        <v>23</v>
      </c>
      <c r="Q26" s="92"/>
      <c r="R26" s="92"/>
      <c r="S26" s="92"/>
      <c r="T26" s="92"/>
      <c r="U26" s="92"/>
      <c r="V26" s="92"/>
    </row>
    <row r="27" spans="1:22" ht="14" customHeight="1">
      <c r="A27" s="5">
        <f t="shared" si="1"/>
        <v>27</v>
      </c>
      <c r="B27" s="182" t="s">
        <v>213</v>
      </c>
      <c r="C27" s="643"/>
      <c r="D27" s="213">
        <f>Ex12_13!O27</f>
        <v>5500</v>
      </c>
      <c r="E27" s="261">
        <f>D27</f>
        <v>5500</v>
      </c>
      <c r="F27" s="261">
        <f t="shared" si="8"/>
        <v>5500</v>
      </c>
      <c r="G27" s="261">
        <f t="shared" si="8"/>
        <v>5500</v>
      </c>
      <c r="H27" s="261">
        <f t="shared" si="8"/>
        <v>5500</v>
      </c>
      <c r="I27" s="261">
        <f t="shared" si="8"/>
        <v>5500</v>
      </c>
      <c r="J27" s="261">
        <f t="shared" si="8"/>
        <v>5500</v>
      </c>
      <c r="K27" s="261">
        <f t="shared" si="8"/>
        <v>5500</v>
      </c>
      <c r="L27" s="261">
        <f>K27</f>
        <v>5500</v>
      </c>
      <c r="M27" s="261">
        <f>L27</f>
        <v>5500</v>
      </c>
      <c r="N27" s="261">
        <f t="shared" si="8"/>
        <v>5500</v>
      </c>
      <c r="O27" s="261">
        <f t="shared" si="8"/>
        <v>5500</v>
      </c>
      <c r="P27" s="148"/>
      <c r="Q27" s="92"/>
      <c r="R27" s="92"/>
      <c r="S27" s="92"/>
      <c r="T27" s="92"/>
      <c r="U27" s="92"/>
      <c r="V27" s="92"/>
    </row>
    <row r="28" spans="1:22">
      <c r="A28" s="5">
        <f t="shared" si="1"/>
        <v>28</v>
      </c>
      <c r="B28" s="184" t="s">
        <v>154</v>
      </c>
      <c r="C28" s="643"/>
      <c r="D28" s="234"/>
      <c r="E28" s="235"/>
      <c r="F28" s="235"/>
      <c r="G28" s="235"/>
      <c r="H28" s="235"/>
      <c r="I28" s="235"/>
      <c r="J28" s="235"/>
      <c r="K28" s="235"/>
      <c r="L28" s="235"/>
      <c r="M28" s="235"/>
      <c r="N28" s="235"/>
      <c r="O28" s="235"/>
      <c r="P28" s="7" t="s">
        <v>289</v>
      </c>
      <c r="Q28" s="92"/>
      <c r="R28" s="92"/>
      <c r="S28" s="92"/>
      <c r="T28" s="92"/>
      <c r="U28" s="92"/>
      <c r="V28" s="92"/>
    </row>
    <row r="29" spans="1:22">
      <c r="A29" s="5">
        <f t="shared" si="1"/>
        <v>29</v>
      </c>
      <c r="B29" s="185" t="s">
        <v>164</v>
      </c>
      <c r="C29" s="643"/>
      <c r="D29" s="236"/>
      <c r="E29" s="237"/>
      <c r="F29" s="237"/>
      <c r="G29" s="237"/>
      <c r="H29" s="237"/>
      <c r="I29" s="237"/>
      <c r="J29" s="237"/>
      <c r="K29" s="237"/>
      <c r="L29" s="237"/>
      <c r="M29" s="237"/>
      <c r="N29" s="237"/>
      <c r="O29" s="237"/>
      <c r="P29" s="7" t="s">
        <v>289</v>
      </c>
      <c r="Q29" s="92"/>
      <c r="R29" s="92"/>
      <c r="S29" s="92"/>
      <c r="T29" s="92"/>
      <c r="U29" s="92"/>
      <c r="V29" s="92"/>
    </row>
    <row r="30" spans="1:22">
      <c r="A30" s="5">
        <f t="shared" si="1"/>
        <v>30</v>
      </c>
      <c r="B30" s="185" t="s">
        <v>155</v>
      </c>
      <c r="C30" s="643"/>
      <c r="D30" s="236"/>
      <c r="E30" s="237"/>
      <c r="F30" s="237"/>
      <c r="G30" s="237"/>
      <c r="H30" s="237"/>
      <c r="I30" s="237"/>
      <c r="J30" s="237"/>
      <c r="K30" s="237"/>
      <c r="L30" s="237"/>
      <c r="M30" s="237"/>
      <c r="N30" s="237"/>
      <c r="O30" s="237"/>
      <c r="P30" s="7" t="s">
        <v>289</v>
      </c>
      <c r="Q30" s="92"/>
      <c r="R30" s="92"/>
      <c r="S30" s="92"/>
      <c r="T30" s="92"/>
      <c r="U30" s="92"/>
      <c r="V30" s="92"/>
    </row>
    <row r="31" spans="1:22">
      <c r="A31" s="5">
        <f t="shared" si="1"/>
        <v>31</v>
      </c>
      <c r="B31" s="185" t="s">
        <v>140</v>
      </c>
      <c r="C31" s="643"/>
      <c r="D31" s="236"/>
      <c r="E31" s="237"/>
      <c r="F31" s="237"/>
      <c r="G31" s="237"/>
      <c r="H31" s="237"/>
      <c r="I31" s="237"/>
      <c r="J31" s="237"/>
      <c r="K31" s="237"/>
      <c r="L31" s="237"/>
      <c r="M31" s="237"/>
      <c r="N31" s="237"/>
      <c r="O31" s="237"/>
      <c r="P31" s="7" t="s">
        <v>289</v>
      </c>
      <c r="Q31" s="92"/>
      <c r="R31" s="92"/>
      <c r="S31" s="92"/>
      <c r="T31" s="92"/>
      <c r="U31" s="92"/>
      <c r="V31" s="92"/>
    </row>
    <row r="32" spans="1:22">
      <c r="A32" s="5">
        <f t="shared" si="1"/>
        <v>32</v>
      </c>
      <c r="B32" s="185" t="s">
        <v>214</v>
      </c>
      <c r="C32" s="643"/>
      <c r="D32" s="236"/>
      <c r="E32" s="237"/>
      <c r="F32" s="237"/>
      <c r="G32" s="237"/>
      <c r="H32" s="237"/>
      <c r="I32" s="237"/>
      <c r="J32" s="237"/>
      <c r="K32" s="237"/>
      <c r="L32" s="237"/>
      <c r="M32" s="237"/>
      <c r="N32" s="237"/>
      <c r="O32" s="237"/>
      <c r="P32" s="3" t="s">
        <v>289</v>
      </c>
      <c r="Q32" s="92"/>
      <c r="R32" s="92"/>
      <c r="S32" s="92"/>
      <c r="T32" s="92"/>
      <c r="U32" s="92"/>
      <c r="V32" s="92"/>
    </row>
    <row r="33" spans="1:22">
      <c r="A33" s="5">
        <f t="shared" si="1"/>
        <v>33</v>
      </c>
      <c r="B33" s="185" t="s">
        <v>156</v>
      </c>
      <c r="C33" s="643"/>
      <c r="D33" s="236"/>
      <c r="E33" s="237"/>
      <c r="F33" s="237"/>
      <c r="G33" s="237"/>
      <c r="H33" s="237"/>
      <c r="I33" s="237"/>
      <c r="J33" s="237"/>
      <c r="K33" s="237"/>
      <c r="L33" s="237"/>
      <c r="M33" s="237"/>
      <c r="N33" s="237"/>
      <c r="O33" s="237"/>
      <c r="P33" s="7" t="s">
        <v>85</v>
      </c>
      <c r="Q33" s="92"/>
      <c r="R33" s="92"/>
      <c r="S33" s="92"/>
      <c r="T33" s="92"/>
      <c r="U33" s="92"/>
      <c r="V33" s="92"/>
    </row>
    <row r="34" spans="1:22">
      <c r="A34" s="5">
        <f t="shared" si="1"/>
        <v>34</v>
      </c>
      <c r="B34" s="185" t="s">
        <v>158</v>
      </c>
      <c r="C34" s="643"/>
      <c r="D34" s="236"/>
      <c r="E34" s="237"/>
      <c r="F34" s="237"/>
      <c r="G34" s="237"/>
      <c r="H34" s="237"/>
      <c r="I34" s="237"/>
      <c r="J34" s="237"/>
      <c r="K34" s="237"/>
      <c r="L34" s="237"/>
      <c r="M34" s="237"/>
      <c r="N34" s="237"/>
      <c r="O34" s="237"/>
      <c r="P34" s="7" t="s">
        <v>77</v>
      </c>
      <c r="Q34" s="92"/>
      <c r="R34" s="92"/>
      <c r="S34" s="92"/>
      <c r="T34" s="92"/>
      <c r="U34" s="92"/>
      <c r="V34" s="92"/>
    </row>
    <row r="35" spans="1:22">
      <c r="A35" s="5">
        <f t="shared" si="1"/>
        <v>35</v>
      </c>
      <c r="B35" s="185" t="s">
        <v>157</v>
      </c>
      <c r="C35" s="643"/>
      <c r="D35" s="236"/>
      <c r="E35" s="237"/>
      <c r="F35" s="237"/>
      <c r="G35" s="237"/>
      <c r="H35" s="237"/>
      <c r="I35" s="237"/>
      <c r="J35" s="237"/>
      <c r="K35" s="237"/>
      <c r="L35" s="237"/>
      <c r="M35" s="237"/>
      <c r="N35" s="237"/>
      <c r="O35" s="237"/>
      <c r="P35" s="7" t="s">
        <v>77</v>
      </c>
      <c r="Q35" s="92"/>
      <c r="R35" s="92"/>
      <c r="S35" s="92"/>
      <c r="T35" s="92"/>
      <c r="U35" s="92"/>
      <c r="V35" s="92"/>
    </row>
    <row r="36" spans="1:22">
      <c r="A36" s="5">
        <f t="shared" si="1"/>
        <v>36</v>
      </c>
      <c r="B36" s="185" t="s">
        <v>159</v>
      </c>
      <c r="C36" s="643"/>
      <c r="D36" s="236"/>
      <c r="E36" s="237"/>
      <c r="F36" s="237"/>
      <c r="G36" s="237"/>
      <c r="H36" s="237"/>
      <c r="I36" s="237"/>
      <c r="J36" s="237"/>
      <c r="K36" s="237"/>
      <c r="L36" s="237"/>
      <c r="M36" s="237"/>
      <c r="N36" s="237"/>
      <c r="O36" s="237"/>
      <c r="P36" s="7" t="s">
        <v>352</v>
      </c>
      <c r="Q36" s="92"/>
      <c r="R36" s="92"/>
      <c r="S36" s="92"/>
      <c r="T36" s="92"/>
      <c r="U36" s="92"/>
      <c r="V36" s="92"/>
    </row>
    <row r="37" spans="1:22">
      <c r="A37" s="5">
        <f t="shared" si="1"/>
        <v>37</v>
      </c>
      <c r="B37" s="185" t="s">
        <v>219</v>
      </c>
      <c r="C37" s="643"/>
      <c r="D37" s="238" t="s">
        <v>343</v>
      </c>
      <c r="E37" s="239"/>
      <c r="F37" s="239"/>
      <c r="G37" s="239"/>
      <c r="H37" s="239"/>
      <c r="I37" s="239"/>
      <c r="J37" s="239"/>
      <c r="K37" s="239"/>
      <c r="L37" s="239"/>
      <c r="M37" s="262">
        <f>IF(M21&gt;0,ROUND(1.5%*P88,2),0)</f>
        <v>3545.46</v>
      </c>
      <c r="N37" s="262">
        <f>IF(AND(N21&gt;0,M37=0),ROUND(1.5%*P88,2),0)</f>
        <v>0</v>
      </c>
      <c r="O37" s="262">
        <f>IF(AND(O21&gt;0,SUM(M37:N37)=0),ROUND(1.5%*P88,2),0)</f>
        <v>0</v>
      </c>
      <c r="P37" s="7" t="s">
        <v>262</v>
      </c>
      <c r="Q37" s="92"/>
      <c r="R37" s="92"/>
      <c r="S37" s="92"/>
      <c r="T37" s="92"/>
      <c r="U37" s="92"/>
      <c r="V37" s="92"/>
    </row>
    <row r="38" spans="1:22">
      <c r="A38" s="5">
        <f t="shared" si="1"/>
        <v>38</v>
      </c>
      <c r="B38" s="186" t="s">
        <v>145</v>
      </c>
      <c r="C38" s="643"/>
      <c r="D38" s="236"/>
      <c r="E38" s="237"/>
      <c r="F38" s="237"/>
      <c r="G38" s="237"/>
      <c r="H38" s="237"/>
      <c r="I38" s="237"/>
      <c r="J38" s="237"/>
      <c r="K38" s="237"/>
      <c r="L38" s="237"/>
      <c r="M38" s="237"/>
      <c r="N38" s="237"/>
      <c r="O38" s="237"/>
      <c r="P38" s="89"/>
      <c r="Q38" s="92"/>
      <c r="R38" s="92"/>
      <c r="S38" s="92"/>
      <c r="T38" s="92"/>
      <c r="U38" s="92"/>
      <c r="V38" s="92"/>
    </row>
    <row r="39" spans="1:22">
      <c r="A39" s="5">
        <f t="shared" si="1"/>
        <v>39</v>
      </c>
      <c r="B39" s="186" t="s">
        <v>160</v>
      </c>
      <c r="C39" s="643"/>
      <c r="D39" s="236"/>
      <c r="E39" s="237"/>
      <c r="F39" s="237"/>
      <c r="G39" s="237"/>
      <c r="H39" s="237"/>
      <c r="I39" s="237"/>
      <c r="J39" s="237"/>
      <c r="K39" s="237"/>
      <c r="L39" s="237"/>
      <c r="M39" s="237"/>
      <c r="N39" s="237"/>
      <c r="O39" s="237"/>
      <c r="P39" s="89"/>
      <c r="Q39" s="92"/>
      <c r="R39" s="92"/>
      <c r="S39" s="92"/>
      <c r="T39" s="92"/>
      <c r="U39" s="92"/>
      <c r="V39" s="92"/>
    </row>
    <row r="40" spans="1:22">
      <c r="A40" s="5">
        <f t="shared" si="1"/>
        <v>40</v>
      </c>
      <c r="B40" s="186" t="s">
        <v>143</v>
      </c>
      <c r="C40" s="643"/>
      <c r="D40" s="236"/>
      <c r="E40" s="237"/>
      <c r="F40" s="237"/>
      <c r="G40" s="237"/>
      <c r="H40" s="237"/>
      <c r="I40" s="237"/>
      <c r="J40" s="237"/>
      <c r="K40" s="237"/>
      <c r="L40" s="237"/>
      <c r="M40" s="237"/>
      <c r="N40" s="237"/>
      <c r="O40" s="237"/>
      <c r="P40" s="89"/>
      <c r="Q40" s="92"/>
      <c r="R40" s="92"/>
      <c r="S40" s="92"/>
      <c r="T40" s="92"/>
      <c r="U40" s="92"/>
      <c r="V40" s="92"/>
    </row>
    <row r="41" spans="1:22">
      <c r="A41" s="5">
        <f t="shared" si="1"/>
        <v>41</v>
      </c>
      <c r="B41" s="186" t="s">
        <v>146</v>
      </c>
      <c r="C41" s="643"/>
      <c r="D41" s="236"/>
      <c r="E41" s="237"/>
      <c r="F41" s="237"/>
      <c r="G41" s="237"/>
      <c r="H41" s="237"/>
      <c r="I41" s="237"/>
      <c r="J41" s="237"/>
      <c r="K41" s="237"/>
      <c r="L41" s="237"/>
      <c r="M41" s="237"/>
      <c r="N41" s="237"/>
      <c r="O41" s="237"/>
      <c r="P41" s="89"/>
      <c r="Q41" s="92"/>
      <c r="R41" s="92"/>
      <c r="S41" s="92"/>
      <c r="T41" s="92"/>
      <c r="U41" s="92"/>
      <c r="V41" s="92"/>
    </row>
    <row r="42" spans="1:22">
      <c r="A42" s="5">
        <f t="shared" si="1"/>
        <v>42</v>
      </c>
      <c r="B42" s="187" t="s">
        <v>141</v>
      </c>
      <c r="C42" s="644"/>
      <c r="D42" s="240"/>
      <c r="E42" s="241"/>
      <c r="F42" s="241"/>
      <c r="G42" s="241"/>
      <c r="H42" s="241"/>
      <c r="I42" s="241"/>
      <c r="J42" s="241"/>
      <c r="K42" s="241"/>
      <c r="L42" s="241"/>
      <c r="M42" s="241"/>
      <c r="N42" s="241"/>
      <c r="O42" s="241"/>
      <c r="P42" s="149"/>
      <c r="Q42" s="92"/>
      <c r="R42" s="92"/>
      <c r="S42" s="92"/>
      <c r="T42" s="92"/>
      <c r="U42" s="92"/>
      <c r="V42" s="92"/>
    </row>
    <row r="43" spans="1:22" ht="32" customHeight="1">
      <c r="A43" s="128">
        <f t="shared" si="1"/>
        <v>43</v>
      </c>
      <c r="B43" s="188" t="s">
        <v>227</v>
      </c>
      <c r="C43" s="78" t="str">
        <f t="shared" ref="C43:O43" si="9">C2</f>
        <v>jan-jul</v>
      </c>
      <c r="D43" s="214" t="str">
        <f t="shared" si="9"/>
        <v>AUG 13</v>
      </c>
      <c r="E43" s="78" t="str">
        <f t="shared" si="9"/>
        <v>SEP13</v>
      </c>
      <c r="F43" s="78" t="str">
        <f t="shared" si="9"/>
        <v>OKT 13</v>
      </c>
      <c r="G43" s="78" t="str">
        <f t="shared" si="9"/>
        <v>NOV 13</v>
      </c>
      <c r="H43" s="78" t="str">
        <f t="shared" si="9"/>
        <v>DEC 13</v>
      </c>
      <c r="I43" s="78" t="str">
        <f t="shared" si="9"/>
        <v>JAN 14</v>
      </c>
      <c r="J43" s="78" t="str">
        <f t="shared" si="9"/>
        <v>FEB 14</v>
      </c>
      <c r="K43" s="78" t="str">
        <f t="shared" si="9"/>
        <v>MAR 14</v>
      </c>
      <c r="L43" s="78" t="str">
        <f t="shared" si="9"/>
        <v>APR 14</v>
      </c>
      <c r="M43" s="78" t="str">
        <f t="shared" si="9"/>
        <v>MAJ14</v>
      </c>
      <c r="N43" s="78" t="str">
        <f t="shared" si="9"/>
        <v>JUN 14</v>
      </c>
      <c r="O43" s="78" t="str">
        <f t="shared" si="9"/>
        <v>JUL 14</v>
      </c>
      <c r="P43" s="83" t="s">
        <v>122</v>
      </c>
      <c r="Q43" s="92"/>
      <c r="R43" s="92"/>
      <c r="S43" s="92"/>
      <c r="T43" s="92"/>
      <c r="U43" s="92"/>
      <c r="V43" s="92"/>
    </row>
    <row r="44" spans="1:22">
      <c r="A44" s="128">
        <f t="shared" si="1"/>
        <v>44</v>
      </c>
      <c r="B44" s="162" t="s">
        <v>94</v>
      </c>
      <c r="C44" s="228"/>
      <c r="D44" s="108">
        <f t="shared" ref="D44:O44" si="10">ROUND(IF(D8&gt;0,ROUND((ROUND(VLOOKUP(D4,basistabel12,2,0)*D6,0))/12,2),0)*D8*D3,2)</f>
        <v>18889.46</v>
      </c>
      <c r="E44" s="108">
        <f t="shared" si="10"/>
        <v>18889.46</v>
      </c>
      <c r="F44" s="108">
        <f t="shared" si="10"/>
        <v>18889.46</v>
      </c>
      <c r="G44" s="108">
        <f t="shared" si="10"/>
        <v>18889.46</v>
      </c>
      <c r="H44" s="108">
        <f t="shared" si="10"/>
        <v>18889.46</v>
      </c>
      <c r="I44" s="108">
        <f t="shared" si="10"/>
        <v>18889.46</v>
      </c>
      <c r="J44" s="108">
        <f t="shared" si="10"/>
        <v>18889.46</v>
      </c>
      <c r="K44" s="108">
        <f t="shared" si="10"/>
        <v>18889.46</v>
      </c>
      <c r="L44" s="108">
        <f t="shared" si="10"/>
        <v>20324.54</v>
      </c>
      <c r="M44" s="108">
        <f t="shared" si="10"/>
        <v>20324.54</v>
      </c>
      <c r="N44" s="108">
        <f t="shared" si="10"/>
        <v>20324.54</v>
      </c>
      <c r="O44" s="108">
        <f t="shared" si="10"/>
        <v>20324.54</v>
      </c>
      <c r="P44" s="122">
        <f t="shared" ref="P44:P81" si="11">SUM(D44:O44)</f>
        <v>232413.84</v>
      </c>
      <c r="Q44" s="92"/>
      <c r="R44" s="92"/>
      <c r="S44" s="92"/>
      <c r="T44" s="92"/>
      <c r="U44" s="92"/>
      <c r="V44" s="92"/>
    </row>
    <row r="45" spans="1:22">
      <c r="A45" s="23">
        <f>A44+1</f>
        <v>45</v>
      </c>
      <c r="B45" s="163" t="s">
        <v>95</v>
      </c>
      <c r="C45" s="228"/>
      <c r="D45" s="110">
        <f t="shared" ref="D45:L45" si="12">ROUND(IF(D8&gt;0,ROUND((VLOOKUP(D4,omraadetabel12,D7,0))/12,2),0)*D8*D3,2)</f>
        <v>260</v>
      </c>
      <c r="E45" s="110">
        <f t="shared" si="12"/>
        <v>260</v>
      </c>
      <c r="F45" s="110">
        <f t="shared" si="12"/>
        <v>260</v>
      </c>
      <c r="G45" s="110">
        <f t="shared" si="12"/>
        <v>260</v>
      </c>
      <c r="H45" s="110">
        <f t="shared" si="12"/>
        <v>260</v>
      </c>
      <c r="I45" s="110">
        <f t="shared" si="12"/>
        <v>260</v>
      </c>
      <c r="J45" s="110">
        <f t="shared" si="12"/>
        <v>260</v>
      </c>
      <c r="K45" s="110">
        <f t="shared" si="12"/>
        <v>260</v>
      </c>
      <c r="L45" s="110">
        <f t="shared" si="12"/>
        <v>260</v>
      </c>
      <c r="M45" s="110">
        <f>ROUND(IF(M8&gt;0,ROUND((VLOOKUP(M4,omraadetabel,M7,0))/12,2),0)*M8*M3,2)</f>
        <v>260</v>
      </c>
      <c r="N45" s="110">
        <f>ROUND(IF(N8&gt;0,ROUND((VLOOKUP(N4,omraadetabel,N7,0))/12,2),0)*N8*N3,2)</f>
        <v>260</v>
      </c>
      <c r="O45" s="110">
        <f>ROUND(IF(O8&gt;0,ROUND((VLOOKUP(O4,omraadetabel,O7,0))/12,2),0)*O8*O3,2)</f>
        <v>260</v>
      </c>
      <c r="P45" s="111">
        <f t="shared" si="11"/>
        <v>3120</v>
      </c>
      <c r="Q45" s="92"/>
      <c r="R45" s="92"/>
      <c r="S45" s="92"/>
      <c r="T45" s="92"/>
      <c r="U45" s="92"/>
      <c r="V45" s="92"/>
    </row>
    <row r="46" spans="1:22">
      <c r="A46" s="23">
        <f t="shared" ref="A46:A81" si="13">A45+1</f>
        <v>46</v>
      </c>
      <c r="B46" s="163" t="s">
        <v>183</v>
      </c>
      <c r="C46" s="228"/>
      <c r="D46" s="110">
        <f t="shared" ref="D46:O46" si="14">ROUND(SUM(D102:D105)*D3,2)</f>
        <v>1248.5</v>
      </c>
      <c r="E46" s="110">
        <f t="shared" si="14"/>
        <v>1248.5</v>
      </c>
      <c r="F46" s="110">
        <f t="shared" si="14"/>
        <v>1248.5</v>
      </c>
      <c r="G46" s="110">
        <f t="shared" si="14"/>
        <v>1248.5</v>
      </c>
      <c r="H46" s="110">
        <f t="shared" si="14"/>
        <v>1248.5</v>
      </c>
      <c r="I46" s="110">
        <f t="shared" si="14"/>
        <v>1248.5</v>
      </c>
      <c r="J46" s="110">
        <f t="shared" si="14"/>
        <v>1248.5</v>
      </c>
      <c r="K46" s="110">
        <f t="shared" si="14"/>
        <v>1248.5</v>
      </c>
      <c r="L46" s="110">
        <f t="shared" si="14"/>
        <v>1343.65</v>
      </c>
      <c r="M46" s="110">
        <f t="shared" si="14"/>
        <v>1343.65</v>
      </c>
      <c r="N46" s="110">
        <f t="shared" si="14"/>
        <v>1343.65</v>
      </c>
      <c r="O46" s="110">
        <f t="shared" si="14"/>
        <v>1343.65</v>
      </c>
      <c r="P46" s="111">
        <f t="shared" si="11"/>
        <v>15362.599999999999</v>
      </c>
      <c r="Q46" s="92"/>
      <c r="R46" s="92"/>
      <c r="S46" s="92"/>
      <c r="T46" s="92"/>
      <c r="U46" s="92"/>
      <c r="V46" s="92"/>
    </row>
    <row r="47" spans="1:22">
      <c r="A47" s="23">
        <f t="shared" si="13"/>
        <v>47</v>
      </c>
      <c r="B47" s="163" t="s">
        <v>184</v>
      </c>
      <c r="C47" s="228"/>
      <c r="D47" s="110">
        <f t="shared" ref="D47:O47" si="15">ROUND(D10*D$6*D3/12,2)</f>
        <v>0</v>
      </c>
      <c r="E47" s="110">
        <f t="shared" si="15"/>
        <v>0</v>
      </c>
      <c r="F47" s="110">
        <f t="shared" si="15"/>
        <v>0</v>
      </c>
      <c r="G47" s="110">
        <f t="shared" si="15"/>
        <v>0</v>
      </c>
      <c r="H47" s="110">
        <f t="shared" si="15"/>
        <v>0</v>
      </c>
      <c r="I47" s="110">
        <f t="shared" si="15"/>
        <v>0</v>
      </c>
      <c r="J47" s="110">
        <f t="shared" si="15"/>
        <v>0</v>
      </c>
      <c r="K47" s="110">
        <f t="shared" si="15"/>
        <v>0</v>
      </c>
      <c r="L47" s="110">
        <f t="shared" si="15"/>
        <v>0</v>
      </c>
      <c r="M47" s="110">
        <f t="shared" si="15"/>
        <v>0</v>
      </c>
      <c r="N47" s="110">
        <f t="shared" si="15"/>
        <v>0</v>
      </c>
      <c r="O47" s="110">
        <f t="shared" si="15"/>
        <v>0</v>
      </c>
      <c r="P47" s="111">
        <f t="shared" si="11"/>
        <v>0</v>
      </c>
      <c r="Q47" s="92"/>
      <c r="R47" s="92"/>
      <c r="S47" s="92"/>
      <c r="T47" s="92"/>
      <c r="U47" s="92"/>
      <c r="V47" s="92"/>
    </row>
    <row r="48" spans="1:22">
      <c r="A48" s="23">
        <f t="shared" si="13"/>
        <v>48</v>
      </c>
      <c r="B48" s="163" t="s">
        <v>185</v>
      </c>
      <c r="C48" s="228"/>
      <c r="D48" s="110">
        <f t="shared" ref="D48:O48" si="16">ROUND(D11*D$6*D3/12,2)</f>
        <v>0</v>
      </c>
      <c r="E48" s="110">
        <f t="shared" si="16"/>
        <v>0</v>
      </c>
      <c r="F48" s="110">
        <f t="shared" si="16"/>
        <v>0</v>
      </c>
      <c r="G48" s="110">
        <f t="shared" si="16"/>
        <v>0</v>
      </c>
      <c r="H48" s="110">
        <f t="shared" si="16"/>
        <v>0</v>
      </c>
      <c r="I48" s="110">
        <f t="shared" si="16"/>
        <v>0</v>
      </c>
      <c r="J48" s="110">
        <f t="shared" si="16"/>
        <v>0</v>
      </c>
      <c r="K48" s="110">
        <f t="shared" si="16"/>
        <v>0</v>
      </c>
      <c r="L48" s="110">
        <f t="shared" si="16"/>
        <v>0</v>
      </c>
      <c r="M48" s="110">
        <f t="shared" si="16"/>
        <v>0</v>
      </c>
      <c r="N48" s="110">
        <f t="shared" si="16"/>
        <v>0</v>
      </c>
      <c r="O48" s="110">
        <f t="shared" si="16"/>
        <v>0</v>
      </c>
      <c r="P48" s="111">
        <f t="shared" si="11"/>
        <v>0</v>
      </c>
      <c r="Q48" s="92"/>
      <c r="R48" s="92"/>
      <c r="S48" s="92"/>
      <c r="T48" s="92"/>
      <c r="U48" s="92"/>
      <c r="V48" s="92"/>
    </row>
    <row r="49" spans="1:22">
      <c r="A49" s="23">
        <f t="shared" si="13"/>
        <v>49</v>
      </c>
      <c r="B49" s="163" t="s">
        <v>186</v>
      </c>
      <c r="C49" s="228"/>
      <c r="D49" s="110">
        <f t="shared" ref="D49:O49" si="17">ROUND(D12*D$6/12*D3,2)</f>
        <v>0</v>
      </c>
      <c r="E49" s="110">
        <f t="shared" si="17"/>
        <v>0</v>
      </c>
      <c r="F49" s="110">
        <f t="shared" si="17"/>
        <v>0</v>
      </c>
      <c r="G49" s="110">
        <f t="shared" si="17"/>
        <v>0</v>
      </c>
      <c r="H49" s="110">
        <f t="shared" si="17"/>
        <v>0</v>
      </c>
      <c r="I49" s="110">
        <f t="shared" si="17"/>
        <v>0</v>
      </c>
      <c r="J49" s="110">
        <f t="shared" si="17"/>
        <v>0</v>
      </c>
      <c r="K49" s="110">
        <f t="shared" si="17"/>
        <v>0</v>
      </c>
      <c r="L49" s="110">
        <f t="shared" si="17"/>
        <v>0</v>
      </c>
      <c r="M49" s="110">
        <f t="shared" si="17"/>
        <v>0</v>
      </c>
      <c r="N49" s="110">
        <f t="shared" si="17"/>
        <v>0</v>
      </c>
      <c r="O49" s="110">
        <f t="shared" si="17"/>
        <v>0</v>
      </c>
      <c r="P49" s="111">
        <f t="shared" si="11"/>
        <v>0</v>
      </c>
      <c r="Q49" s="92"/>
      <c r="R49" s="92"/>
      <c r="S49" s="92"/>
      <c r="T49" s="92"/>
      <c r="U49" s="92"/>
      <c r="V49" s="92"/>
    </row>
    <row r="50" spans="1:22">
      <c r="A50" s="23">
        <f t="shared" si="13"/>
        <v>50</v>
      </c>
      <c r="B50" s="163" t="s">
        <v>187</v>
      </c>
      <c r="C50" s="228"/>
      <c r="D50" s="110">
        <f t="shared" ref="D50:O50" si="18">ROUND(D13*D$6/12*D3,2)</f>
        <v>0</v>
      </c>
      <c r="E50" s="110">
        <f t="shared" si="18"/>
        <v>0</v>
      </c>
      <c r="F50" s="110">
        <f t="shared" si="18"/>
        <v>0</v>
      </c>
      <c r="G50" s="110">
        <f t="shared" si="18"/>
        <v>0</v>
      </c>
      <c r="H50" s="110">
        <f t="shared" si="18"/>
        <v>0</v>
      </c>
      <c r="I50" s="110">
        <f t="shared" si="18"/>
        <v>0</v>
      </c>
      <c r="J50" s="110">
        <f t="shared" si="18"/>
        <v>0</v>
      </c>
      <c r="K50" s="110">
        <f t="shared" si="18"/>
        <v>0</v>
      </c>
      <c r="L50" s="110">
        <f t="shared" si="18"/>
        <v>0</v>
      </c>
      <c r="M50" s="110">
        <f t="shared" si="18"/>
        <v>0</v>
      </c>
      <c r="N50" s="110">
        <f t="shared" si="18"/>
        <v>0</v>
      </c>
      <c r="O50" s="110">
        <f t="shared" si="18"/>
        <v>0</v>
      </c>
      <c r="P50" s="111">
        <f t="shared" si="11"/>
        <v>0</v>
      </c>
      <c r="Q50" s="92"/>
      <c r="R50" s="92"/>
      <c r="S50" s="92"/>
      <c r="T50" s="92"/>
      <c r="U50" s="92"/>
      <c r="V50" s="92"/>
    </row>
    <row r="51" spans="1:22">
      <c r="A51" s="23">
        <f t="shared" si="13"/>
        <v>51</v>
      </c>
      <c r="B51" s="163" t="s">
        <v>188</v>
      </c>
      <c r="C51" s="228"/>
      <c r="D51" s="110">
        <f t="shared" ref="D51:O51" si="19">ROUND(D14*D$6/12*D3,2)</f>
        <v>0</v>
      </c>
      <c r="E51" s="110">
        <f t="shared" si="19"/>
        <v>0</v>
      </c>
      <c r="F51" s="110">
        <f t="shared" si="19"/>
        <v>0</v>
      </c>
      <c r="G51" s="110">
        <f t="shared" si="19"/>
        <v>0</v>
      </c>
      <c r="H51" s="110">
        <f t="shared" si="19"/>
        <v>0</v>
      </c>
      <c r="I51" s="110">
        <f t="shared" si="19"/>
        <v>0</v>
      </c>
      <c r="J51" s="110">
        <f t="shared" si="19"/>
        <v>0</v>
      </c>
      <c r="K51" s="110">
        <f t="shared" si="19"/>
        <v>0</v>
      </c>
      <c r="L51" s="110">
        <f t="shared" si="19"/>
        <v>0</v>
      </c>
      <c r="M51" s="110">
        <f t="shared" si="19"/>
        <v>0</v>
      </c>
      <c r="N51" s="110">
        <f t="shared" si="19"/>
        <v>0</v>
      </c>
      <c r="O51" s="110">
        <f t="shared" si="19"/>
        <v>0</v>
      </c>
      <c r="P51" s="111">
        <f t="shared" si="11"/>
        <v>0</v>
      </c>
      <c r="Q51" s="92"/>
      <c r="R51" s="92"/>
      <c r="S51" s="92"/>
      <c r="T51" s="92"/>
      <c r="U51" s="92"/>
      <c r="V51" s="92"/>
    </row>
    <row r="52" spans="1:22">
      <c r="A52" s="23">
        <f t="shared" si="13"/>
        <v>52</v>
      </c>
      <c r="B52" s="163" t="s">
        <v>189</v>
      </c>
      <c r="C52" s="228"/>
      <c r="D52" s="110">
        <f t="shared" ref="D52:O52" si="20">ROUND(D15*D$6*D$8/12*D3,2)</f>
        <v>992.78</v>
      </c>
      <c r="E52" s="110">
        <f t="shared" si="20"/>
        <v>992.78</v>
      </c>
      <c r="F52" s="110">
        <f t="shared" si="20"/>
        <v>992.78</v>
      </c>
      <c r="G52" s="110">
        <f t="shared" si="20"/>
        <v>992.78</v>
      </c>
      <c r="H52" s="110">
        <f t="shared" si="20"/>
        <v>992.78</v>
      </c>
      <c r="I52" s="110">
        <f t="shared" si="20"/>
        <v>992.78</v>
      </c>
      <c r="J52" s="110">
        <f t="shared" si="20"/>
        <v>992.78</v>
      </c>
      <c r="K52" s="110">
        <f t="shared" si="20"/>
        <v>992.78</v>
      </c>
      <c r="L52" s="110">
        <f t="shared" si="20"/>
        <v>1068.2</v>
      </c>
      <c r="M52" s="110">
        <f t="shared" si="20"/>
        <v>1068.2</v>
      </c>
      <c r="N52" s="110">
        <f t="shared" si="20"/>
        <v>1068.2</v>
      </c>
      <c r="O52" s="110">
        <f t="shared" si="20"/>
        <v>1068.2</v>
      </c>
      <c r="P52" s="111">
        <f t="shared" si="11"/>
        <v>12215.04</v>
      </c>
      <c r="Q52" s="92"/>
      <c r="R52" s="92"/>
      <c r="S52" s="92"/>
      <c r="T52" s="92"/>
      <c r="U52" s="92"/>
      <c r="V52" s="92"/>
    </row>
    <row r="53" spans="1:22">
      <c r="A53" s="23">
        <f t="shared" si="13"/>
        <v>53</v>
      </c>
      <c r="B53" s="163" t="s">
        <v>190</v>
      </c>
      <c r="C53" s="228"/>
      <c r="D53" s="110">
        <f t="shared" ref="D53:O53" si="21">ROUND(D16*D$6*D$8/12*D3,2)</f>
        <v>0</v>
      </c>
      <c r="E53" s="110">
        <f t="shared" si="21"/>
        <v>0</v>
      </c>
      <c r="F53" s="110">
        <f t="shared" si="21"/>
        <v>0</v>
      </c>
      <c r="G53" s="110">
        <f t="shared" si="21"/>
        <v>0</v>
      </c>
      <c r="H53" s="110">
        <f t="shared" si="21"/>
        <v>0</v>
      </c>
      <c r="I53" s="110">
        <f t="shared" si="21"/>
        <v>0</v>
      </c>
      <c r="J53" s="110">
        <f t="shared" si="21"/>
        <v>0</v>
      </c>
      <c r="K53" s="110">
        <f t="shared" si="21"/>
        <v>0</v>
      </c>
      <c r="L53" s="110">
        <f t="shared" si="21"/>
        <v>0</v>
      </c>
      <c r="M53" s="110">
        <f t="shared" si="21"/>
        <v>0</v>
      </c>
      <c r="N53" s="110">
        <f t="shared" si="21"/>
        <v>0</v>
      </c>
      <c r="O53" s="110">
        <f t="shared" si="21"/>
        <v>0</v>
      </c>
      <c r="P53" s="111">
        <f t="shared" si="11"/>
        <v>0</v>
      </c>
      <c r="Q53" s="92"/>
      <c r="R53" s="92"/>
      <c r="S53" s="92"/>
      <c r="T53" s="92"/>
      <c r="U53" s="92"/>
      <c r="V53" s="92"/>
    </row>
    <row r="54" spans="1:22">
      <c r="A54" s="23">
        <f t="shared" si="13"/>
        <v>54</v>
      </c>
      <c r="B54" s="163" t="s">
        <v>367</v>
      </c>
      <c r="C54" s="228"/>
      <c r="D54" s="110">
        <f>ROUND(D17*D$6*D$8/12*D3,2)</f>
        <v>0</v>
      </c>
      <c r="E54" s="110">
        <f t="shared" ref="E54:O54" si="22">ROUND(E17*E$6*E$8/12*E3,2)</f>
        <v>0</v>
      </c>
      <c r="F54" s="110">
        <f t="shared" si="22"/>
        <v>0</v>
      </c>
      <c r="G54" s="110">
        <f t="shared" si="22"/>
        <v>0</v>
      </c>
      <c r="H54" s="110">
        <f t="shared" si="22"/>
        <v>0</v>
      </c>
      <c r="I54" s="110">
        <f t="shared" si="22"/>
        <v>0</v>
      </c>
      <c r="J54" s="110">
        <f t="shared" si="22"/>
        <v>0</v>
      </c>
      <c r="K54" s="110">
        <f t="shared" si="22"/>
        <v>0</v>
      </c>
      <c r="L54" s="110">
        <f t="shared" si="22"/>
        <v>0</v>
      </c>
      <c r="M54" s="110">
        <f t="shared" si="22"/>
        <v>0</v>
      </c>
      <c r="N54" s="110">
        <f t="shared" si="22"/>
        <v>0</v>
      </c>
      <c r="O54" s="110">
        <f t="shared" si="22"/>
        <v>0</v>
      </c>
      <c r="P54" s="111">
        <f t="shared" si="11"/>
        <v>0</v>
      </c>
      <c r="Q54" s="92"/>
      <c r="R54" s="92"/>
      <c r="S54" s="92"/>
      <c r="T54" s="92"/>
      <c r="U54" s="92"/>
      <c r="V54" s="92"/>
    </row>
    <row r="55" spans="1:22">
      <c r="A55" s="23">
        <f t="shared" si="13"/>
        <v>55</v>
      </c>
      <c r="B55" s="163" t="s">
        <v>125</v>
      </c>
      <c r="C55" s="228"/>
      <c r="D55" s="110">
        <f>ROUND(D18*D$6*D$8/12*D3,2)</f>
        <v>0</v>
      </c>
      <c r="E55" s="110">
        <f t="shared" ref="E55:O55" si="23">ROUND(E18*E$6*E$8/12*E3,2)</f>
        <v>0</v>
      </c>
      <c r="F55" s="110">
        <f t="shared" si="23"/>
        <v>0</v>
      </c>
      <c r="G55" s="110">
        <f t="shared" si="23"/>
        <v>0</v>
      </c>
      <c r="H55" s="110">
        <f t="shared" si="23"/>
        <v>0</v>
      </c>
      <c r="I55" s="110">
        <f t="shared" si="23"/>
        <v>0</v>
      </c>
      <c r="J55" s="110">
        <f t="shared" si="23"/>
        <v>0</v>
      </c>
      <c r="K55" s="110">
        <f t="shared" si="23"/>
        <v>0</v>
      </c>
      <c r="L55" s="110">
        <f t="shared" si="23"/>
        <v>0</v>
      </c>
      <c r="M55" s="110">
        <f t="shared" si="23"/>
        <v>0</v>
      </c>
      <c r="N55" s="110">
        <f t="shared" si="23"/>
        <v>0</v>
      </c>
      <c r="O55" s="110">
        <f t="shared" si="23"/>
        <v>0</v>
      </c>
      <c r="P55" s="111">
        <f t="shared" si="11"/>
        <v>0</v>
      </c>
      <c r="Q55" s="92"/>
      <c r="R55" s="92"/>
      <c r="S55" s="92"/>
      <c r="T55" s="92"/>
      <c r="U55" s="92"/>
      <c r="V55" s="92"/>
    </row>
    <row r="56" spans="1:22">
      <c r="A56" s="23">
        <f t="shared" si="13"/>
        <v>56</v>
      </c>
      <c r="B56" s="163" t="s">
        <v>401</v>
      </c>
      <c r="C56" s="228"/>
      <c r="D56" s="110">
        <f>MAX(ROUND((IF(RIGHT(D4)="1",5200)+IF(OR(RIGHT(D4)="2",RIGHT(D4)="3"),7900))*D6/12*D8*D3,2))</f>
        <v>533.53</v>
      </c>
      <c r="E56" s="110">
        <f t="shared" ref="E56:O56" si="24">MAX(ROUND((IF(RIGHT(E4)="1",5200)+IF(OR(RIGHT(E4)="2",RIGHT(E4)="3"),7900))*E6/12*E8*E3,2))</f>
        <v>533.53</v>
      </c>
      <c r="F56" s="110">
        <f t="shared" si="24"/>
        <v>533.53</v>
      </c>
      <c r="G56" s="110">
        <f t="shared" si="24"/>
        <v>533.53</v>
      </c>
      <c r="H56" s="110">
        <f t="shared" si="24"/>
        <v>533.53</v>
      </c>
      <c r="I56" s="110">
        <f t="shared" si="24"/>
        <v>533.53</v>
      </c>
      <c r="J56" s="110">
        <f t="shared" si="24"/>
        <v>533.53</v>
      </c>
      <c r="K56" s="110">
        <f t="shared" si="24"/>
        <v>533.53</v>
      </c>
      <c r="L56" s="110">
        <f t="shared" si="24"/>
        <v>574.07000000000005</v>
      </c>
      <c r="M56" s="110">
        <f t="shared" si="24"/>
        <v>574.07000000000005</v>
      </c>
      <c r="N56" s="110">
        <f t="shared" si="24"/>
        <v>574.07000000000005</v>
      </c>
      <c r="O56" s="110">
        <f t="shared" si="24"/>
        <v>574.07000000000005</v>
      </c>
      <c r="P56" s="111">
        <f t="shared" si="11"/>
        <v>6564.5199999999977</v>
      </c>
      <c r="Q56" s="92"/>
      <c r="R56" s="92"/>
      <c r="S56" s="92"/>
      <c r="T56" s="92"/>
      <c r="U56" s="92"/>
      <c r="V56" s="92"/>
    </row>
    <row r="57" spans="1:22">
      <c r="A57" s="23">
        <f t="shared" si="13"/>
        <v>57</v>
      </c>
      <c r="B57" s="163" t="s">
        <v>376</v>
      </c>
      <c r="C57" s="228"/>
      <c r="D57" s="216"/>
      <c r="E57" s="216"/>
      <c r="F57" s="216"/>
      <c r="G57" s="216"/>
      <c r="H57" s="216"/>
      <c r="I57" s="216"/>
      <c r="J57" s="216"/>
      <c r="K57" s="216"/>
      <c r="L57" s="216"/>
      <c r="M57" s="216"/>
      <c r="N57" s="216"/>
      <c r="O57" s="216"/>
      <c r="P57" s="111">
        <f t="shared" si="11"/>
        <v>0</v>
      </c>
      <c r="Q57" s="92"/>
      <c r="R57" s="92"/>
      <c r="S57" s="92"/>
      <c r="T57" s="92"/>
      <c r="U57" s="92"/>
      <c r="V57" s="92"/>
    </row>
    <row r="58" spans="1:22">
      <c r="A58" s="23">
        <f t="shared" si="13"/>
        <v>58</v>
      </c>
      <c r="B58" s="163" t="s">
        <v>191</v>
      </c>
      <c r="C58" s="228"/>
      <c r="D58" s="110">
        <f t="shared" ref="D58:O58" si="25">IF(D44&gt;0,ROUND(IF(D$8&gt;=0.5,708*D$6,354*D$6)/12*D3,2),0)</f>
        <v>59.77</v>
      </c>
      <c r="E58" s="110">
        <f t="shared" si="25"/>
        <v>59.77</v>
      </c>
      <c r="F58" s="110">
        <f t="shared" si="25"/>
        <v>59.77</v>
      </c>
      <c r="G58" s="110">
        <f t="shared" si="25"/>
        <v>59.77</v>
      </c>
      <c r="H58" s="110">
        <f t="shared" si="25"/>
        <v>59.77</v>
      </c>
      <c r="I58" s="110">
        <f t="shared" si="25"/>
        <v>59.77</v>
      </c>
      <c r="J58" s="110">
        <f t="shared" si="25"/>
        <v>59.77</v>
      </c>
      <c r="K58" s="110">
        <f t="shared" si="25"/>
        <v>59.77</v>
      </c>
      <c r="L58" s="110">
        <f t="shared" si="25"/>
        <v>64.31</v>
      </c>
      <c r="M58" s="110">
        <f t="shared" si="25"/>
        <v>64.31</v>
      </c>
      <c r="N58" s="110">
        <f t="shared" si="25"/>
        <v>64.31</v>
      </c>
      <c r="O58" s="110">
        <f t="shared" si="25"/>
        <v>64.31</v>
      </c>
      <c r="P58" s="111">
        <f t="shared" si="11"/>
        <v>735.39999999999986</v>
      </c>
      <c r="Q58" s="92"/>
      <c r="R58" s="92"/>
      <c r="S58" s="92"/>
      <c r="T58" s="92"/>
      <c r="U58" s="92"/>
      <c r="V58" s="92"/>
    </row>
    <row r="59" spans="1:22">
      <c r="A59" s="23">
        <f t="shared" si="13"/>
        <v>59</v>
      </c>
      <c r="B59" s="163" t="s">
        <v>171</v>
      </c>
      <c r="C59" s="228"/>
      <c r="D59" s="110">
        <f t="shared" ref="D59:O59" si="26">D20*D3</f>
        <v>0</v>
      </c>
      <c r="E59" s="110">
        <f t="shared" si="26"/>
        <v>0</v>
      </c>
      <c r="F59" s="110">
        <f t="shared" si="26"/>
        <v>0</v>
      </c>
      <c r="G59" s="110">
        <f t="shared" si="26"/>
        <v>0</v>
      </c>
      <c r="H59" s="110">
        <f t="shared" si="26"/>
        <v>0</v>
      </c>
      <c r="I59" s="110">
        <f t="shared" si="26"/>
        <v>0</v>
      </c>
      <c r="J59" s="110">
        <f t="shared" si="26"/>
        <v>0</v>
      </c>
      <c r="K59" s="110">
        <f t="shared" si="26"/>
        <v>0</v>
      </c>
      <c r="L59" s="110">
        <f t="shared" si="26"/>
        <v>0</v>
      </c>
      <c r="M59" s="110">
        <f t="shared" si="26"/>
        <v>0</v>
      </c>
      <c r="N59" s="110">
        <f t="shared" si="26"/>
        <v>0</v>
      </c>
      <c r="O59" s="110">
        <f t="shared" si="26"/>
        <v>0</v>
      </c>
      <c r="P59" s="111">
        <f t="shared" si="11"/>
        <v>0</v>
      </c>
      <c r="Q59" s="92"/>
      <c r="R59" s="92"/>
      <c r="S59" s="92"/>
      <c r="T59" s="92"/>
      <c r="U59" s="92"/>
      <c r="V59" s="92"/>
    </row>
    <row r="60" spans="1:22">
      <c r="A60" s="23">
        <f t="shared" si="13"/>
        <v>60</v>
      </c>
      <c r="B60" s="163" t="s">
        <v>172</v>
      </c>
      <c r="C60" s="228"/>
      <c r="D60" s="216">
        <f t="shared" ref="D60:O60" si="27">IF(D8&gt;0,108.35*D3,0)</f>
        <v>108.35</v>
      </c>
      <c r="E60" s="216">
        <f t="shared" si="27"/>
        <v>108.35</v>
      </c>
      <c r="F60" s="216">
        <f t="shared" si="27"/>
        <v>108.35</v>
      </c>
      <c r="G60" s="216">
        <f t="shared" si="27"/>
        <v>108.35</v>
      </c>
      <c r="H60" s="216">
        <f t="shared" si="27"/>
        <v>108.35</v>
      </c>
      <c r="I60" s="216">
        <f t="shared" si="27"/>
        <v>108.35</v>
      </c>
      <c r="J60" s="216">
        <f t="shared" si="27"/>
        <v>108.35</v>
      </c>
      <c r="K60" s="216">
        <f t="shared" si="27"/>
        <v>108.35</v>
      </c>
      <c r="L60" s="216">
        <f t="shared" si="27"/>
        <v>108.35</v>
      </c>
      <c r="M60" s="216">
        <f t="shared" si="27"/>
        <v>108.35</v>
      </c>
      <c r="N60" s="216">
        <f t="shared" si="27"/>
        <v>108.35</v>
      </c>
      <c r="O60" s="216">
        <f t="shared" si="27"/>
        <v>108.35</v>
      </c>
      <c r="P60" s="111">
        <f t="shared" si="11"/>
        <v>1300.1999999999998</v>
      </c>
      <c r="Q60" s="92"/>
      <c r="R60" s="92"/>
      <c r="S60" s="92"/>
      <c r="T60" s="92"/>
      <c r="U60" s="92"/>
      <c r="V60" s="92"/>
    </row>
    <row r="61" spans="1:22">
      <c r="A61" s="23">
        <f t="shared" si="13"/>
        <v>61</v>
      </c>
      <c r="B61" s="163" t="s">
        <v>266</v>
      </c>
      <c r="C61" s="228"/>
      <c r="D61" s="216">
        <f t="shared" ref="D61:K61" si="28">-(MAX(0,MIN(D21,D22))+D25)*4.62%*SUM(D44:D60)</f>
        <v>0</v>
      </c>
      <c r="E61" s="216">
        <f t="shared" si="28"/>
        <v>0</v>
      </c>
      <c r="F61" s="216">
        <f t="shared" si="28"/>
        <v>0</v>
      </c>
      <c r="G61" s="216">
        <f t="shared" si="28"/>
        <v>0</v>
      </c>
      <c r="H61" s="216">
        <f t="shared" si="28"/>
        <v>0</v>
      </c>
      <c r="I61" s="216">
        <f t="shared" si="28"/>
        <v>0</v>
      </c>
      <c r="J61" s="216">
        <f t="shared" si="28"/>
        <v>0</v>
      </c>
      <c r="K61" s="216">
        <f t="shared" si="28"/>
        <v>0</v>
      </c>
      <c r="L61" s="216">
        <f>-(MAX(0,MIN(L21,L22))+L25)*4.62%*SUM(L44:L60)</f>
        <v>0</v>
      </c>
      <c r="M61" s="216">
        <f>-(MAX(0,MIN(M21,M22))+M25)*4.62%*SUM(M44:M60)</f>
        <v>-1.096932144E-4</v>
      </c>
      <c r="N61" s="216">
        <f>-(MAX(0,MIN(N21,N22))+N25)*4.62%*SUM(N44:N60)</f>
        <v>0</v>
      </c>
      <c r="O61" s="216">
        <f>-(MAX(0,MIN(O21,O22))+O25)*4.62%*SUM(O44:O60)</f>
        <v>0</v>
      </c>
      <c r="P61" s="111">
        <f t="shared" si="11"/>
        <v>-1.096932144E-4</v>
      </c>
      <c r="Q61" s="92"/>
      <c r="R61" s="92"/>
      <c r="S61" s="92"/>
      <c r="T61" s="92"/>
      <c r="U61" s="92"/>
      <c r="V61" s="92"/>
    </row>
    <row r="62" spans="1:22">
      <c r="A62" s="23">
        <f t="shared" si="13"/>
        <v>62</v>
      </c>
      <c r="B62" s="163" t="s">
        <v>205</v>
      </c>
      <c r="C62" s="228"/>
      <c r="D62" s="216">
        <f t="shared" ref="D62:K62" si="29">(D21-D22)*4.62%*(D23-D8)*(D3=1)*IF(D8&gt;0,(D44+D45+D52+D53+D54+D55+D56+D57)/D8,0)*(D23&gt;0)</f>
        <v>-631.93811098687547</v>
      </c>
      <c r="E62" s="216">
        <f t="shared" si="29"/>
        <v>0</v>
      </c>
      <c r="F62" s="216">
        <f t="shared" si="29"/>
        <v>0</v>
      </c>
      <c r="G62" s="216">
        <f t="shared" si="29"/>
        <v>0</v>
      </c>
      <c r="H62" s="216">
        <f t="shared" si="29"/>
        <v>0</v>
      </c>
      <c r="I62" s="216">
        <f t="shared" si="29"/>
        <v>0</v>
      </c>
      <c r="J62" s="216">
        <f t="shared" si="29"/>
        <v>0</v>
      </c>
      <c r="K62" s="216">
        <f t="shared" si="29"/>
        <v>0</v>
      </c>
      <c r="L62" s="110">
        <f>(L21-L22)*4.62%*(L24-L8)*(L3=1)*IF(L8&gt;0,(L44+L45+L52+L53+L54+L55+L56+L57)/L8,0)*(L24&gt;0)</f>
        <v>0</v>
      </c>
      <c r="M62" s="110">
        <f>(M21-M22)*4.62%*(M24-M8)*(M3=1)*IF(M8&gt;0,(M44+M45+M52+M53+M54+M55+M56+M57)/M8,0)*(M24&gt;0)</f>
        <v>-3.8507948325000031E-6</v>
      </c>
      <c r="N62" s="110">
        <f>(N21-N22)*4.62%*(N24-N8)*(N3=1)*IF(N8&gt;0,(N44+N45+N52+N53+N54+N55+N56+N57)/N8,0)*(N24&gt;0)</f>
        <v>0</v>
      </c>
      <c r="O62" s="110">
        <f>(O21-O22)*4.62%*(O24-O8)*(O3=1)*IF(O8&gt;0,(O44+O45+O52+O53+O54+O55+O56+O57)/O8,0)*(O24&gt;0)</f>
        <v>-770.15896650000059</v>
      </c>
      <c r="P62" s="111">
        <f t="shared" si="11"/>
        <v>-1402.0970813376709</v>
      </c>
      <c r="Q62" s="92"/>
      <c r="R62" s="92"/>
      <c r="S62" s="92"/>
      <c r="T62" s="92"/>
      <c r="U62" s="92"/>
      <c r="V62" s="92"/>
    </row>
    <row r="63" spans="1:22">
      <c r="A63" s="23">
        <f t="shared" si="13"/>
        <v>63</v>
      </c>
      <c r="B63" s="163" t="s">
        <v>192</v>
      </c>
      <c r="C63" s="228"/>
      <c r="D63" s="110">
        <f t="shared" ref="D63:K63" si="30">SUM(D32:D42)+MAX(D31-8000,0)</f>
        <v>0</v>
      </c>
      <c r="E63" s="110">
        <f t="shared" si="30"/>
        <v>0</v>
      </c>
      <c r="F63" s="110">
        <f t="shared" si="30"/>
        <v>0</v>
      </c>
      <c r="G63" s="110">
        <f t="shared" si="30"/>
        <v>0</v>
      </c>
      <c r="H63" s="110">
        <f t="shared" si="30"/>
        <v>0</v>
      </c>
      <c r="I63" s="110">
        <f t="shared" si="30"/>
        <v>0</v>
      </c>
      <c r="J63" s="110">
        <f t="shared" si="30"/>
        <v>0</v>
      </c>
      <c r="K63" s="110">
        <f t="shared" si="30"/>
        <v>0</v>
      </c>
      <c r="L63" s="110">
        <f>SUM(L32:L42)+MAX(L31-8000,0)</f>
        <v>0</v>
      </c>
      <c r="M63" s="110">
        <f>SUM(M32:M42)+MAX(M31-8000,0)</f>
        <v>3545.46</v>
      </c>
      <c r="N63" s="110">
        <f>SUM(N32:N42)+MAX(N31-8000,0)</f>
        <v>0</v>
      </c>
      <c r="O63" s="110">
        <f>SUM(O32:O42)+MAX(O31-8000,0)</f>
        <v>0</v>
      </c>
      <c r="P63" s="111">
        <f t="shared" si="11"/>
        <v>3545.46</v>
      </c>
      <c r="Q63" s="92"/>
      <c r="R63" s="92"/>
      <c r="S63" s="92"/>
      <c r="T63" s="92"/>
      <c r="U63" s="92"/>
      <c r="V63" s="92"/>
    </row>
    <row r="64" spans="1:22">
      <c r="A64" s="23">
        <f t="shared" si="13"/>
        <v>64</v>
      </c>
      <c r="B64" s="189" t="s">
        <v>22</v>
      </c>
      <c r="C64" s="228"/>
      <c r="D64" s="217">
        <f t="shared" ref="D64:K64" si="31">SUM(D28:D30)+IF(D31&gt;0,MIN(D31,8000),0)</f>
        <v>0</v>
      </c>
      <c r="E64" s="217">
        <f t="shared" si="31"/>
        <v>0</v>
      </c>
      <c r="F64" s="217">
        <f t="shared" si="31"/>
        <v>0</v>
      </c>
      <c r="G64" s="217">
        <f t="shared" si="31"/>
        <v>0</v>
      </c>
      <c r="H64" s="217">
        <f t="shared" si="31"/>
        <v>0</v>
      </c>
      <c r="I64" s="217">
        <f t="shared" si="31"/>
        <v>0</v>
      </c>
      <c r="J64" s="217">
        <f t="shared" si="31"/>
        <v>0</v>
      </c>
      <c r="K64" s="217">
        <f t="shared" si="31"/>
        <v>0</v>
      </c>
      <c r="L64" s="217">
        <f>SUM(L28:L30)+IF(L31&gt;0,MIN(L31,8000),0)</f>
        <v>0</v>
      </c>
      <c r="M64" s="217">
        <f>SUM(M28:M30)+IF(M31&gt;0,MIN(M31,8000),0)</f>
        <v>0</v>
      </c>
      <c r="N64" s="217">
        <f>SUM(N28:N30)+IF(N31&gt;0,MIN(N31,8000),0)</f>
        <v>0</v>
      </c>
      <c r="O64" s="217">
        <f>SUM(O28:O30)+IF(O31&gt;0,MIN(O31,8000),0)</f>
        <v>0</v>
      </c>
      <c r="P64" s="112">
        <f t="shared" si="11"/>
        <v>0</v>
      </c>
      <c r="Q64" s="92"/>
      <c r="R64" s="92"/>
      <c r="S64" s="92"/>
      <c r="T64" s="92"/>
      <c r="U64" s="92"/>
      <c r="V64" s="92"/>
    </row>
    <row r="65" spans="1:22">
      <c r="A65" s="23">
        <f t="shared" si="13"/>
        <v>65</v>
      </c>
      <c r="B65" s="77" t="s">
        <v>114</v>
      </c>
      <c r="C65" s="229"/>
      <c r="D65" s="218">
        <f>SUM(D44:D64)</f>
        <v>21460.451889013122</v>
      </c>
      <c r="E65" s="218">
        <f t="shared" ref="E65:O65" si="32">SUM(E44:E64)</f>
        <v>22092.389999999996</v>
      </c>
      <c r="F65" s="218">
        <f t="shared" si="32"/>
        <v>22092.389999999996</v>
      </c>
      <c r="G65" s="218">
        <f t="shared" si="32"/>
        <v>22092.389999999996</v>
      </c>
      <c r="H65" s="218">
        <f t="shared" si="32"/>
        <v>22092.389999999996</v>
      </c>
      <c r="I65" s="218">
        <f t="shared" si="32"/>
        <v>22092.389999999996</v>
      </c>
      <c r="J65" s="218">
        <f t="shared" si="32"/>
        <v>22092.389999999996</v>
      </c>
      <c r="K65" s="218">
        <f t="shared" si="32"/>
        <v>22092.389999999996</v>
      </c>
      <c r="L65" s="218">
        <f t="shared" si="32"/>
        <v>23743.120000000003</v>
      </c>
      <c r="M65" s="218">
        <f t="shared" si="32"/>
        <v>27288.579886455995</v>
      </c>
      <c r="N65" s="218">
        <f t="shared" si="32"/>
        <v>23743.120000000003</v>
      </c>
      <c r="O65" s="218">
        <f t="shared" si="32"/>
        <v>22972.961033500003</v>
      </c>
      <c r="P65" s="84">
        <f t="shared" si="11"/>
        <v>273854.96280896908</v>
      </c>
      <c r="Q65" s="92"/>
      <c r="R65" s="92"/>
      <c r="S65" s="92"/>
      <c r="T65" s="92"/>
      <c r="U65" s="92"/>
      <c r="V65" s="92"/>
    </row>
    <row r="66" spans="1:22">
      <c r="A66" s="23">
        <f t="shared" si="13"/>
        <v>66</v>
      </c>
      <c r="B66" s="162" t="s">
        <v>111</v>
      </c>
      <c r="C66" s="228"/>
      <c r="D66" s="108">
        <f t="shared" ref="D66:K66" si="33">ROUND(D44*17.3%/3,2)*(D5="L")</f>
        <v>1089.29</v>
      </c>
      <c r="E66" s="108">
        <f t="shared" si="33"/>
        <v>1089.29</v>
      </c>
      <c r="F66" s="108">
        <f t="shared" si="33"/>
        <v>1089.29</v>
      </c>
      <c r="G66" s="108">
        <f t="shared" si="33"/>
        <v>1089.29</v>
      </c>
      <c r="H66" s="108">
        <f t="shared" si="33"/>
        <v>1089.29</v>
      </c>
      <c r="I66" s="108">
        <f t="shared" si="33"/>
        <v>1089.29</v>
      </c>
      <c r="J66" s="108">
        <f t="shared" si="33"/>
        <v>1089.29</v>
      </c>
      <c r="K66" s="108">
        <f t="shared" si="33"/>
        <v>1089.29</v>
      </c>
      <c r="L66" s="108">
        <f>ROUND(L44*17.3%/3,2)*(L5="L")</f>
        <v>1172.05</v>
      </c>
      <c r="M66" s="108">
        <f>ROUND(M44*17.3%/3,2)*(M5="L")</f>
        <v>1172.05</v>
      </c>
      <c r="N66" s="108">
        <f>ROUND(N44*17.3%/3,2)*(N5="L")</f>
        <v>1172.05</v>
      </c>
      <c r="O66" s="108">
        <f>ROUND(O44*17.3%/3,2)*(O5="L")</f>
        <v>1172.05</v>
      </c>
      <c r="P66" s="109">
        <f t="shared" si="11"/>
        <v>13402.519999999997</v>
      </c>
      <c r="Q66" s="92"/>
      <c r="R66" s="92"/>
      <c r="S66" s="92"/>
      <c r="T66" s="92"/>
      <c r="U66" s="92"/>
      <c r="V66" s="92"/>
    </row>
    <row r="67" spans="1:22">
      <c r="A67" s="23">
        <f t="shared" si="13"/>
        <v>67</v>
      </c>
      <c r="B67" s="163" t="s">
        <v>196</v>
      </c>
      <c r="C67" s="228"/>
      <c r="D67" s="110">
        <f t="shared" ref="D67:K67" si="34">ROUND(D46*17.3%/3,2)*(D5="L")</f>
        <v>72</v>
      </c>
      <c r="E67" s="110">
        <f t="shared" si="34"/>
        <v>72</v>
      </c>
      <c r="F67" s="110">
        <f t="shared" si="34"/>
        <v>72</v>
      </c>
      <c r="G67" s="110">
        <f t="shared" si="34"/>
        <v>72</v>
      </c>
      <c r="H67" s="110">
        <f t="shared" si="34"/>
        <v>72</v>
      </c>
      <c r="I67" s="110">
        <f t="shared" si="34"/>
        <v>72</v>
      </c>
      <c r="J67" s="110">
        <f t="shared" si="34"/>
        <v>72</v>
      </c>
      <c r="K67" s="110">
        <f t="shared" si="34"/>
        <v>72</v>
      </c>
      <c r="L67" s="110">
        <f>ROUND(L46*17.3%/3,2)*(L5="L")</f>
        <v>77.48</v>
      </c>
      <c r="M67" s="110">
        <f>ROUND(M46*17.3%/3,2)*(M5="L")</f>
        <v>77.48</v>
      </c>
      <c r="N67" s="110">
        <f>ROUND(N46*17.3%/3,2)*(N5="L")</f>
        <v>77.48</v>
      </c>
      <c r="O67" s="110">
        <f>ROUND(O46*17.3%/3,2)*(O5="L")</f>
        <v>77.48</v>
      </c>
      <c r="P67" s="111">
        <f t="shared" si="11"/>
        <v>885.92000000000007</v>
      </c>
      <c r="Q67" s="92"/>
      <c r="R67" s="92"/>
      <c r="S67" s="92"/>
      <c r="T67" s="92"/>
      <c r="U67" s="92"/>
      <c r="V67" s="92"/>
    </row>
    <row r="68" spans="1:22">
      <c r="A68" s="23">
        <f t="shared" si="13"/>
        <v>68</v>
      </c>
      <c r="B68" s="163" t="s">
        <v>112</v>
      </c>
      <c r="C68" s="228"/>
      <c r="D68" s="110">
        <f t="shared" ref="D68:K68" si="35">ROUND(D47*17.3%/3,2)</f>
        <v>0</v>
      </c>
      <c r="E68" s="110">
        <f t="shared" si="35"/>
        <v>0</v>
      </c>
      <c r="F68" s="110">
        <f t="shared" si="35"/>
        <v>0</v>
      </c>
      <c r="G68" s="110">
        <f t="shared" si="35"/>
        <v>0</v>
      </c>
      <c r="H68" s="110">
        <f t="shared" si="35"/>
        <v>0</v>
      </c>
      <c r="I68" s="110">
        <f t="shared" si="35"/>
        <v>0</v>
      </c>
      <c r="J68" s="110">
        <f t="shared" si="35"/>
        <v>0</v>
      </c>
      <c r="K68" s="110">
        <f t="shared" si="35"/>
        <v>0</v>
      </c>
      <c r="L68" s="110">
        <f>ROUND(L47*17.3%/3,2)</f>
        <v>0</v>
      </c>
      <c r="M68" s="110">
        <f>ROUND(M47*17.3%/3,2)</f>
        <v>0</v>
      </c>
      <c r="N68" s="110">
        <f>ROUND(N47*17.3%/3,2)</f>
        <v>0</v>
      </c>
      <c r="O68" s="110">
        <f>ROUND(O47*17.3%/3,2)</f>
        <v>0</v>
      </c>
      <c r="P68" s="111">
        <f t="shared" si="11"/>
        <v>0</v>
      </c>
      <c r="Q68" s="92"/>
      <c r="R68" s="92"/>
      <c r="S68" s="92"/>
      <c r="T68" s="92"/>
      <c r="U68" s="92"/>
      <c r="V68" s="92"/>
    </row>
    <row r="69" spans="1:22">
      <c r="A69" s="23">
        <f t="shared" si="13"/>
        <v>69</v>
      </c>
      <c r="B69" s="163" t="s">
        <v>203</v>
      </c>
      <c r="C69" s="228"/>
      <c r="D69" s="110">
        <f t="shared" ref="D69:K69" si="36">ROUND(D48*17.3%/3,2)*OR((D5="L"),(LEFT(D19)="J"))</f>
        <v>0</v>
      </c>
      <c r="E69" s="110">
        <f t="shared" si="36"/>
        <v>0</v>
      </c>
      <c r="F69" s="110">
        <f t="shared" si="36"/>
        <v>0</v>
      </c>
      <c r="G69" s="110">
        <f t="shared" si="36"/>
        <v>0</v>
      </c>
      <c r="H69" s="110">
        <f t="shared" si="36"/>
        <v>0</v>
      </c>
      <c r="I69" s="110">
        <f t="shared" si="36"/>
        <v>0</v>
      </c>
      <c r="J69" s="110">
        <f t="shared" si="36"/>
        <v>0</v>
      </c>
      <c r="K69" s="110">
        <f t="shared" si="36"/>
        <v>0</v>
      </c>
      <c r="L69" s="110">
        <f>ROUND(L48*17.3%/3,2)*OR((L5="L"),(LEFT(L19)="J"))</f>
        <v>0</v>
      </c>
      <c r="M69" s="110">
        <f>ROUND(M48*17.3%/3,2)*OR((M5="L"),(LEFT(M19)="J"))</f>
        <v>0</v>
      </c>
      <c r="N69" s="110">
        <f>ROUND(N48*17.3%/3,2)*OR((N5="L"),(LEFT(N19)="J"))</f>
        <v>0</v>
      </c>
      <c r="O69" s="110">
        <f>ROUND(O48*17.3%/3,2)*OR((O5="L"),(LEFT(O19)="J"))</f>
        <v>0</v>
      </c>
      <c r="P69" s="111">
        <f t="shared" si="11"/>
        <v>0</v>
      </c>
      <c r="Q69" s="92"/>
      <c r="R69" s="92"/>
      <c r="S69" s="92"/>
      <c r="T69" s="92"/>
      <c r="U69" s="92"/>
      <c r="V69" s="92"/>
    </row>
    <row r="70" spans="1:22">
      <c r="A70" s="23">
        <f t="shared" si="13"/>
        <v>70</v>
      </c>
      <c r="B70" s="163" t="s">
        <v>204</v>
      </c>
      <c r="C70" s="228"/>
      <c r="D70" s="110">
        <f t="shared" ref="D70:K70" si="37">ROUND(D49*17.3%/3,2)*OR((D5="L"),(LEFT(D19)="J"))</f>
        <v>0</v>
      </c>
      <c r="E70" s="110">
        <f t="shared" si="37"/>
        <v>0</v>
      </c>
      <c r="F70" s="110">
        <f t="shared" si="37"/>
        <v>0</v>
      </c>
      <c r="G70" s="110">
        <f t="shared" si="37"/>
        <v>0</v>
      </c>
      <c r="H70" s="110">
        <f t="shared" si="37"/>
        <v>0</v>
      </c>
      <c r="I70" s="110">
        <f t="shared" si="37"/>
        <v>0</v>
      </c>
      <c r="J70" s="110">
        <f t="shared" si="37"/>
        <v>0</v>
      </c>
      <c r="K70" s="110">
        <f t="shared" si="37"/>
        <v>0</v>
      </c>
      <c r="L70" s="110">
        <f>ROUND(L49*17.3%/3,2)*OR((L5="L"),(LEFT(L19)="J"))</f>
        <v>0</v>
      </c>
      <c r="M70" s="110">
        <f>ROUND(M49*17.3%/3,2)*OR((M5="L"),(LEFT(M19)="J"))</f>
        <v>0</v>
      </c>
      <c r="N70" s="110">
        <f>ROUND(N49*17.3%/3,2)*OR((N5="L"),(LEFT(N19)="J"))</f>
        <v>0</v>
      </c>
      <c r="O70" s="110">
        <f>ROUND(O49*17.3%/3,2)*OR((O5="L"),(LEFT(O19)="J"))</f>
        <v>0</v>
      </c>
      <c r="P70" s="111">
        <f t="shared" si="11"/>
        <v>0</v>
      </c>
      <c r="Q70" s="92"/>
      <c r="R70" s="92"/>
      <c r="S70" s="92"/>
      <c r="T70" s="92"/>
      <c r="U70" s="92"/>
      <c r="V70" s="92"/>
    </row>
    <row r="71" spans="1:22">
      <c r="A71" s="23">
        <f t="shared" si="13"/>
        <v>71</v>
      </c>
      <c r="B71" s="163" t="s">
        <v>64</v>
      </c>
      <c r="C71" s="228"/>
      <c r="D71" s="110">
        <f t="shared" ref="D71:K71" si="38">ROUND(D50*17.3%/3,2)*OR((D5="L"),(LEFT(D19)="J"))</f>
        <v>0</v>
      </c>
      <c r="E71" s="110">
        <f t="shared" si="38"/>
        <v>0</v>
      </c>
      <c r="F71" s="110">
        <f t="shared" si="38"/>
        <v>0</v>
      </c>
      <c r="G71" s="110">
        <f t="shared" si="38"/>
        <v>0</v>
      </c>
      <c r="H71" s="110">
        <f t="shared" si="38"/>
        <v>0</v>
      </c>
      <c r="I71" s="110">
        <f t="shared" si="38"/>
        <v>0</v>
      </c>
      <c r="J71" s="110">
        <f t="shared" si="38"/>
        <v>0</v>
      </c>
      <c r="K71" s="110">
        <f t="shared" si="38"/>
        <v>0</v>
      </c>
      <c r="L71" s="110">
        <f>ROUND(L50*17.3%/3,2)*OR((L5="L"),(LEFT(L19)="J"))</f>
        <v>0</v>
      </c>
      <c r="M71" s="110">
        <f>ROUND(M50*17.3%/3,2)*OR((M5="L"),(LEFT(M19)="J"))</f>
        <v>0</v>
      </c>
      <c r="N71" s="110">
        <f>ROUND(N50*17.3%/3,2)*OR((N5="L"),(LEFT(N19)="J"))</f>
        <v>0</v>
      </c>
      <c r="O71" s="110">
        <f>ROUND(O50*17.3%/3,2)*OR((O5="L"),(LEFT(O19)="J"))</f>
        <v>0</v>
      </c>
      <c r="P71" s="111">
        <f t="shared" si="11"/>
        <v>0</v>
      </c>
      <c r="Q71" s="92"/>
      <c r="R71" s="92"/>
      <c r="S71" s="92"/>
      <c r="T71" s="92"/>
      <c r="U71" s="92"/>
      <c r="V71" s="92"/>
    </row>
    <row r="72" spans="1:22">
      <c r="A72" s="23">
        <f t="shared" si="13"/>
        <v>72</v>
      </c>
      <c r="B72" s="163" t="s">
        <v>65</v>
      </c>
      <c r="C72" s="228"/>
      <c r="D72" s="110">
        <f t="shared" ref="D72:K72" si="39">ROUND(D51*17.3%/3,2)*OR((D5="L"),(LEFT(D19)="J"))</f>
        <v>0</v>
      </c>
      <c r="E72" s="110">
        <f t="shared" si="39"/>
        <v>0</v>
      </c>
      <c r="F72" s="110">
        <f t="shared" si="39"/>
        <v>0</v>
      </c>
      <c r="G72" s="110">
        <f t="shared" si="39"/>
        <v>0</v>
      </c>
      <c r="H72" s="110">
        <f t="shared" si="39"/>
        <v>0</v>
      </c>
      <c r="I72" s="110">
        <f t="shared" si="39"/>
        <v>0</v>
      </c>
      <c r="J72" s="110">
        <f t="shared" si="39"/>
        <v>0</v>
      </c>
      <c r="K72" s="110">
        <f t="shared" si="39"/>
        <v>0</v>
      </c>
      <c r="L72" s="110">
        <f>ROUND(L51*17.3%/3,2)*OR((L5="L"),(LEFT(L19)="J"))</f>
        <v>0</v>
      </c>
      <c r="M72" s="110">
        <f>ROUND(M51*17.3%/3,2)*OR((M5="L"),(LEFT(M19)="J"))</f>
        <v>0</v>
      </c>
      <c r="N72" s="110">
        <f>ROUND(N51*17.3%/3,2)*OR((N5="L"),(LEFT(N19)="J"))</f>
        <v>0</v>
      </c>
      <c r="O72" s="110">
        <f>ROUND(O51*17.3%/3,2)*OR((O5="L"),(LEFT(O19)="J"))</f>
        <v>0</v>
      </c>
      <c r="P72" s="111">
        <f t="shared" si="11"/>
        <v>0</v>
      </c>
      <c r="Q72" s="92"/>
      <c r="R72" s="92"/>
      <c r="S72" s="92"/>
      <c r="T72" s="92"/>
      <c r="U72" s="92"/>
      <c r="V72" s="92"/>
    </row>
    <row r="73" spans="1:22">
      <c r="A73" s="23">
        <f t="shared" si="13"/>
        <v>73</v>
      </c>
      <c r="B73" s="163" t="s">
        <v>66</v>
      </c>
      <c r="C73" s="228"/>
      <c r="D73" s="110">
        <f t="shared" ref="D73:K73" si="40">ROUND(D52*17.3%/3,2)*OR((D5="L"),(LEFT(D19)="J"))</f>
        <v>57.25</v>
      </c>
      <c r="E73" s="110">
        <f t="shared" si="40"/>
        <v>57.25</v>
      </c>
      <c r="F73" s="110">
        <f t="shared" si="40"/>
        <v>57.25</v>
      </c>
      <c r="G73" s="110">
        <f t="shared" si="40"/>
        <v>57.25</v>
      </c>
      <c r="H73" s="110">
        <f t="shared" si="40"/>
        <v>57.25</v>
      </c>
      <c r="I73" s="110">
        <f t="shared" si="40"/>
        <v>57.25</v>
      </c>
      <c r="J73" s="110">
        <f t="shared" si="40"/>
        <v>57.25</v>
      </c>
      <c r="K73" s="110">
        <f t="shared" si="40"/>
        <v>57.25</v>
      </c>
      <c r="L73" s="110">
        <f>ROUND(L52*17.3%/3,2)*OR((L5="L"),(LEFT(L19)="J"))</f>
        <v>61.6</v>
      </c>
      <c r="M73" s="110">
        <f>ROUND(M52*17.3%/3,2)*OR((M5="L"),(LEFT(M19)="J"))</f>
        <v>61.6</v>
      </c>
      <c r="N73" s="110">
        <f>ROUND(N52*17.3%/3,2)*OR((N5="L"),(LEFT(N19)="J"))</f>
        <v>61.6</v>
      </c>
      <c r="O73" s="110">
        <f>ROUND(O52*17.3%/3,2)*OR((O5="L"),(LEFT(O19)="J"))</f>
        <v>61.6</v>
      </c>
      <c r="P73" s="111">
        <f t="shared" si="11"/>
        <v>704.40000000000009</v>
      </c>
      <c r="Q73" s="92"/>
      <c r="R73" s="92"/>
      <c r="S73" s="92"/>
      <c r="T73" s="92"/>
      <c r="U73" s="92"/>
      <c r="V73" s="92"/>
    </row>
    <row r="74" spans="1:22">
      <c r="A74" s="23">
        <f t="shared" si="13"/>
        <v>74</v>
      </c>
      <c r="B74" s="163" t="s">
        <v>67</v>
      </c>
      <c r="C74" s="228"/>
      <c r="D74" s="110">
        <f t="shared" ref="D74:K75" si="41">ROUND(D53*17.3%/3,2)*OR((D5="L"),(LEFT(D19)="J"))</f>
        <v>0</v>
      </c>
      <c r="E74" s="110">
        <f t="shared" si="41"/>
        <v>0</v>
      </c>
      <c r="F74" s="110">
        <f t="shared" si="41"/>
        <v>0</v>
      </c>
      <c r="G74" s="110">
        <f t="shared" si="41"/>
        <v>0</v>
      </c>
      <c r="H74" s="110">
        <f t="shared" si="41"/>
        <v>0</v>
      </c>
      <c r="I74" s="110">
        <f t="shared" si="41"/>
        <v>0</v>
      </c>
      <c r="J74" s="110">
        <f t="shared" si="41"/>
        <v>0</v>
      </c>
      <c r="K74" s="110">
        <f t="shared" si="41"/>
        <v>0</v>
      </c>
      <c r="L74" s="110">
        <f t="shared" ref="L74:O75" si="42">ROUND(L53*17.3%/3,2)*OR((L5="L"),(LEFT(L19)="J"))</f>
        <v>0</v>
      </c>
      <c r="M74" s="110">
        <f t="shared" si="42"/>
        <v>0</v>
      </c>
      <c r="N74" s="110">
        <f t="shared" si="42"/>
        <v>0</v>
      </c>
      <c r="O74" s="110">
        <f t="shared" si="42"/>
        <v>0</v>
      </c>
      <c r="P74" s="111">
        <f t="shared" si="11"/>
        <v>0</v>
      </c>
      <c r="Q74" s="92"/>
      <c r="R74" s="92"/>
      <c r="S74" s="92"/>
      <c r="T74" s="92"/>
      <c r="U74" s="92"/>
      <c r="V74" s="92"/>
    </row>
    <row r="75" spans="1:22">
      <c r="A75" s="23">
        <f t="shared" si="13"/>
        <v>75</v>
      </c>
      <c r="B75" s="163" t="s">
        <v>368</v>
      </c>
      <c r="C75" s="228"/>
      <c r="D75" s="110">
        <f t="shared" si="41"/>
        <v>0</v>
      </c>
      <c r="E75" s="110">
        <f t="shared" si="41"/>
        <v>0</v>
      </c>
      <c r="F75" s="110">
        <f t="shared" si="41"/>
        <v>0</v>
      </c>
      <c r="G75" s="110">
        <f t="shared" si="41"/>
        <v>0</v>
      </c>
      <c r="H75" s="110">
        <f t="shared" si="41"/>
        <v>0</v>
      </c>
      <c r="I75" s="110">
        <f t="shared" si="41"/>
        <v>0</v>
      </c>
      <c r="J75" s="110">
        <f t="shared" si="41"/>
        <v>0</v>
      </c>
      <c r="K75" s="110">
        <f t="shared" si="41"/>
        <v>0</v>
      </c>
      <c r="L75" s="110">
        <f t="shared" si="42"/>
        <v>0</v>
      </c>
      <c r="M75" s="110">
        <f t="shared" si="42"/>
        <v>0</v>
      </c>
      <c r="N75" s="110">
        <f t="shared" si="42"/>
        <v>0</v>
      </c>
      <c r="O75" s="110">
        <f t="shared" si="42"/>
        <v>0</v>
      </c>
      <c r="P75" s="111">
        <f>SUM(D75:O75)</f>
        <v>0</v>
      </c>
      <c r="Q75" s="92"/>
      <c r="R75" s="92"/>
      <c r="S75" s="92"/>
      <c r="T75" s="92"/>
      <c r="U75" s="92"/>
      <c r="V75" s="92"/>
    </row>
    <row r="76" spans="1:22">
      <c r="A76" s="23">
        <f t="shared" si="13"/>
        <v>76</v>
      </c>
      <c r="B76" s="163" t="s">
        <v>20</v>
      </c>
      <c r="C76" s="228"/>
      <c r="D76" s="110">
        <f t="shared" ref="D76:K76" si="43">ROUND(D55*17.3%/3,2)*(D5="L")</f>
        <v>0</v>
      </c>
      <c r="E76" s="110">
        <f t="shared" si="43"/>
        <v>0</v>
      </c>
      <c r="F76" s="110">
        <f t="shared" si="43"/>
        <v>0</v>
      </c>
      <c r="G76" s="110">
        <f t="shared" si="43"/>
        <v>0</v>
      </c>
      <c r="H76" s="110">
        <f t="shared" si="43"/>
        <v>0</v>
      </c>
      <c r="I76" s="110">
        <f t="shared" si="43"/>
        <v>0</v>
      </c>
      <c r="J76" s="110">
        <f t="shared" si="43"/>
        <v>0</v>
      </c>
      <c r="K76" s="110">
        <f t="shared" si="43"/>
        <v>0</v>
      </c>
      <c r="L76" s="110">
        <f>ROUND(L55*17.3%/3,2)*(L5="L")</f>
        <v>0</v>
      </c>
      <c r="M76" s="110">
        <f>ROUND(M55*17.3%/3,2)*(M5="L")</f>
        <v>0</v>
      </c>
      <c r="N76" s="110">
        <f>ROUND(N55*17.3%/3,2)*(N5="L")</f>
        <v>0</v>
      </c>
      <c r="O76" s="110">
        <f>ROUND(O55*17.3%/3,2)*(O5="L")</f>
        <v>0</v>
      </c>
      <c r="P76" s="111">
        <f t="shared" si="11"/>
        <v>0</v>
      </c>
      <c r="Q76" s="92"/>
      <c r="R76" s="92"/>
      <c r="S76" s="92"/>
      <c r="T76" s="92"/>
      <c r="U76" s="92"/>
      <c r="V76" s="92"/>
    </row>
    <row r="77" spans="1:22">
      <c r="A77" s="23">
        <f t="shared" si="13"/>
        <v>77</v>
      </c>
      <c r="B77" s="163" t="s">
        <v>377</v>
      </c>
      <c r="C77" s="228"/>
      <c r="D77" s="110"/>
      <c r="E77" s="110"/>
      <c r="F77" s="110"/>
      <c r="G77" s="110"/>
      <c r="H77" s="110"/>
      <c r="I77" s="110"/>
      <c r="J77" s="110"/>
      <c r="K77" s="110"/>
      <c r="L77" s="110"/>
      <c r="M77" s="110"/>
      <c r="N77" s="110"/>
      <c r="O77" s="110"/>
      <c r="P77" s="111">
        <f t="shared" si="11"/>
        <v>0</v>
      </c>
      <c r="Q77" s="92"/>
      <c r="R77" s="92"/>
      <c r="S77" s="92"/>
      <c r="T77" s="92"/>
      <c r="U77" s="92"/>
      <c r="V77" s="92"/>
    </row>
    <row r="78" spans="1:22">
      <c r="A78" s="23">
        <f t="shared" si="13"/>
        <v>78</v>
      </c>
      <c r="B78" s="163" t="s">
        <v>119</v>
      </c>
      <c r="C78" s="228"/>
      <c r="D78" s="110">
        <f t="shared" ref="D78:O78" si="44">((SUM(D44:D60)-301881.8*D6*D8/12)*0.7%/3*((D65-D61)&gt;301881.8/12*D6*D8)*(LEFT(D4)="B")+(SUM(D44:D60)-361659.2*D6*D8/12)*0.7%/3*(SUM(D44:D60)&gt;361659.2/12*D6*D8)*(LEFT(D4)="L"))*(LEFT(D5)&lt;&gt;"L")*(LEFT(D19)="J")</f>
        <v>0</v>
      </c>
      <c r="E78" s="110">
        <f t="shared" si="44"/>
        <v>0</v>
      </c>
      <c r="F78" s="110">
        <f t="shared" si="44"/>
        <v>0</v>
      </c>
      <c r="G78" s="110">
        <f t="shared" si="44"/>
        <v>0</v>
      </c>
      <c r="H78" s="110">
        <f t="shared" si="44"/>
        <v>0</v>
      </c>
      <c r="I78" s="110">
        <f t="shared" si="44"/>
        <v>0</v>
      </c>
      <c r="J78" s="110">
        <f t="shared" si="44"/>
        <v>0</v>
      </c>
      <c r="K78" s="110">
        <f t="shared" si="44"/>
        <v>0</v>
      </c>
      <c r="L78" s="110">
        <f t="shared" si="44"/>
        <v>0</v>
      </c>
      <c r="M78" s="110">
        <f t="shared" si="44"/>
        <v>0</v>
      </c>
      <c r="N78" s="110">
        <f t="shared" si="44"/>
        <v>0</v>
      </c>
      <c r="O78" s="110">
        <f t="shared" si="44"/>
        <v>0</v>
      </c>
      <c r="P78" s="111">
        <f t="shared" si="11"/>
        <v>0</v>
      </c>
      <c r="Q78" s="92"/>
      <c r="R78" s="92"/>
      <c r="S78" s="92"/>
      <c r="T78" s="92"/>
      <c r="U78" s="92"/>
      <c r="V78" s="92"/>
    </row>
    <row r="79" spans="1:22">
      <c r="A79" s="23">
        <f t="shared" si="13"/>
        <v>79</v>
      </c>
      <c r="B79" s="163" t="s">
        <v>263</v>
      </c>
      <c r="C79" s="228"/>
      <c r="D79" s="216">
        <f t="shared" ref="D79:K79" si="45">ROUND(-(D22+D25)*4.62%*SUM(D66:D78),2)</f>
        <v>0</v>
      </c>
      <c r="E79" s="216">
        <f t="shared" si="45"/>
        <v>0</v>
      </c>
      <c r="F79" s="216">
        <f t="shared" si="45"/>
        <v>0</v>
      </c>
      <c r="G79" s="216">
        <f t="shared" si="45"/>
        <v>0</v>
      </c>
      <c r="H79" s="216">
        <f t="shared" si="45"/>
        <v>0</v>
      </c>
      <c r="I79" s="216">
        <f t="shared" si="45"/>
        <v>0</v>
      </c>
      <c r="J79" s="216">
        <f t="shared" si="45"/>
        <v>0</v>
      </c>
      <c r="K79" s="216">
        <f t="shared" si="45"/>
        <v>0</v>
      </c>
      <c r="L79" s="216">
        <f>ROUND(-(L22+L25)*4.62%*SUM(L66:L78),2)</f>
        <v>0</v>
      </c>
      <c r="M79" s="216">
        <f>ROUND(-(M22+M25)*4.62%*SUM(M66:M78),2)</f>
        <v>0</v>
      </c>
      <c r="N79" s="216">
        <f>ROUND(-(N22+N25)*4.62%*SUM(N66:N78),2)</f>
        <v>0</v>
      </c>
      <c r="O79" s="216">
        <f>ROUND(-(O22+O25)*4.62%*SUM(O66:O78),2)</f>
        <v>0</v>
      </c>
      <c r="P79" s="111">
        <f t="shared" si="11"/>
        <v>0</v>
      </c>
      <c r="Q79" s="92"/>
      <c r="R79" s="92"/>
      <c r="S79" s="92"/>
      <c r="T79" s="92"/>
      <c r="U79" s="92"/>
      <c r="V79" s="92"/>
    </row>
    <row r="80" spans="1:22">
      <c r="A80" s="23">
        <f t="shared" si="13"/>
        <v>80</v>
      </c>
      <c r="B80" s="164" t="s">
        <v>43</v>
      </c>
      <c r="C80" s="228"/>
      <c r="D80" s="219">
        <f t="shared" ref="D80:K80" si="46">IF(OR(D62=0,D8=0),0,(D66+D73+D74+D76+D77)/D8*4.62%*(D23-D8)*(D21-D22))</f>
        <v>-35.043063536250031</v>
      </c>
      <c r="E80" s="219">
        <f t="shared" si="46"/>
        <v>0</v>
      </c>
      <c r="F80" s="219">
        <f t="shared" si="46"/>
        <v>0</v>
      </c>
      <c r="G80" s="219">
        <f t="shared" si="46"/>
        <v>0</v>
      </c>
      <c r="H80" s="219">
        <f t="shared" si="46"/>
        <v>0</v>
      </c>
      <c r="I80" s="219">
        <f t="shared" si="46"/>
        <v>0</v>
      </c>
      <c r="J80" s="219">
        <f t="shared" si="46"/>
        <v>0</v>
      </c>
      <c r="K80" s="219">
        <f t="shared" si="46"/>
        <v>0</v>
      </c>
      <c r="L80" s="219">
        <f>IF(OR(L62=0,L8=0),0,(L66+L73+L74+L76+L77)/L8*4.62%*(L23-L8)*(L21-L22))</f>
        <v>0</v>
      </c>
      <c r="M80" s="219">
        <f>IF(OR(M62=0,M8=0),0,(M66+M73+M74+M76+M77)/M8*4.62%*(M24-M8)*(M21-M22))</f>
        <v>-2.1372986250000013E-7</v>
      </c>
      <c r="N80" s="219">
        <f>IF(OR(N62=0,N8=0),0,(N66+N73+N74+N76+N77)/N8*4.62%*(N24-N8)*(N21-N22))</f>
        <v>0</v>
      </c>
      <c r="O80" s="219">
        <f>IF(OR(O62=0,O8=0),0,(O66+O73+O74+O76+O77)/O8*4.62%*(O24-O8)*(O21-O22))</f>
        <v>-42.745972500000029</v>
      </c>
      <c r="P80" s="131">
        <f t="shared" si="11"/>
        <v>-77.789036249979915</v>
      </c>
      <c r="Q80" s="92"/>
      <c r="R80" s="92"/>
      <c r="S80" s="92"/>
      <c r="T80" s="92"/>
      <c r="U80" s="92"/>
      <c r="V80" s="92"/>
    </row>
    <row r="81" spans="1:22" ht="13" thickBot="1">
      <c r="A81" s="158">
        <f t="shared" si="13"/>
        <v>81</v>
      </c>
      <c r="B81" s="159" t="s">
        <v>194</v>
      </c>
      <c r="C81" s="229"/>
      <c r="D81" s="220">
        <f>SUM(D66:D80)</f>
        <v>1183.49693646375</v>
      </c>
      <c r="E81" s="160">
        <f t="shared" ref="E81:O81" si="47">SUM(E66:E80)</f>
        <v>1218.54</v>
      </c>
      <c r="F81" s="160">
        <f t="shared" si="47"/>
        <v>1218.54</v>
      </c>
      <c r="G81" s="160">
        <f t="shared" si="47"/>
        <v>1218.54</v>
      </c>
      <c r="H81" s="160">
        <f t="shared" si="47"/>
        <v>1218.54</v>
      </c>
      <c r="I81" s="160">
        <f t="shared" si="47"/>
        <v>1218.54</v>
      </c>
      <c r="J81" s="160">
        <f t="shared" si="47"/>
        <v>1218.54</v>
      </c>
      <c r="K81" s="160">
        <f t="shared" si="47"/>
        <v>1218.54</v>
      </c>
      <c r="L81" s="160">
        <f t="shared" si="47"/>
        <v>1311.1299999999999</v>
      </c>
      <c r="M81" s="160">
        <f t="shared" si="47"/>
        <v>1311.12999978627</v>
      </c>
      <c r="N81" s="160">
        <f t="shared" si="47"/>
        <v>1311.1299999999999</v>
      </c>
      <c r="O81" s="160">
        <f t="shared" si="47"/>
        <v>1268.3840274999998</v>
      </c>
      <c r="P81" s="161">
        <f t="shared" si="11"/>
        <v>14915.050963750018</v>
      </c>
      <c r="Q81" s="92"/>
      <c r="R81" s="92"/>
      <c r="S81" s="92"/>
      <c r="T81" s="92"/>
      <c r="U81" s="92"/>
      <c r="V81" s="92"/>
    </row>
    <row r="82" spans="1:22" ht="13" thickTop="1">
      <c r="A82" s="23">
        <f>A81+1</f>
        <v>82</v>
      </c>
      <c r="B82" s="190" t="s">
        <v>105</v>
      </c>
      <c r="C82" s="230"/>
      <c r="D82" s="221">
        <f>D94/3</f>
        <v>90</v>
      </c>
      <c r="E82" s="113">
        <f t="shared" ref="E82:O82" si="48">E94/3</f>
        <v>90</v>
      </c>
      <c r="F82" s="113">
        <f t="shared" si="48"/>
        <v>90</v>
      </c>
      <c r="G82" s="113">
        <f t="shared" si="48"/>
        <v>90</v>
      </c>
      <c r="H82" s="113">
        <f t="shared" si="48"/>
        <v>90</v>
      </c>
      <c r="I82" s="113">
        <f t="shared" si="48"/>
        <v>90</v>
      </c>
      <c r="J82" s="113">
        <f t="shared" si="48"/>
        <v>90</v>
      </c>
      <c r="K82" s="113">
        <f t="shared" si="48"/>
        <v>90</v>
      </c>
      <c r="L82" s="113">
        <f t="shared" si="48"/>
        <v>90</v>
      </c>
      <c r="M82" s="113">
        <f t="shared" si="48"/>
        <v>90</v>
      </c>
      <c r="N82" s="113">
        <f t="shared" si="48"/>
        <v>90</v>
      </c>
      <c r="O82" s="113">
        <f t="shared" si="48"/>
        <v>90</v>
      </c>
      <c r="P82" s="109">
        <f>SUM(D82:O82)</f>
        <v>1080</v>
      </c>
      <c r="Q82" s="92"/>
      <c r="R82" s="92"/>
      <c r="S82" s="92"/>
      <c r="T82" s="92"/>
      <c r="U82" s="92"/>
      <c r="V82" s="92"/>
    </row>
    <row r="83" spans="1:22">
      <c r="A83" s="23">
        <f>A82+1</f>
        <v>83</v>
      </c>
      <c r="B83" s="190" t="s">
        <v>100</v>
      </c>
      <c r="C83" s="230"/>
      <c r="D83" s="221">
        <f t="shared" ref="D83:O83" si="49">SUM(D44:D63)-D82</f>
        <v>21370.451889013122</v>
      </c>
      <c r="E83" s="113">
        <f t="shared" si="49"/>
        <v>22002.389999999996</v>
      </c>
      <c r="F83" s="113">
        <f t="shared" si="49"/>
        <v>22002.389999999996</v>
      </c>
      <c r="G83" s="113">
        <f t="shared" si="49"/>
        <v>22002.389999999996</v>
      </c>
      <c r="H83" s="113">
        <f t="shared" si="49"/>
        <v>22002.389999999996</v>
      </c>
      <c r="I83" s="113">
        <f t="shared" si="49"/>
        <v>22002.389999999996</v>
      </c>
      <c r="J83" s="113">
        <f t="shared" si="49"/>
        <v>22002.389999999996</v>
      </c>
      <c r="K83" s="113">
        <f t="shared" si="49"/>
        <v>22002.389999999996</v>
      </c>
      <c r="L83" s="113">
        <f t="shared" si="49"/>
        <v>23653.120000000003</v>
      </c>
      <c r="M83" s="113">
        <f t="shared" si="49"/>
        <v>27198.579886455995</v>
      </c>
      <c r="N83" s="113">
        <f t="shared" si="49"/>
        <v>23653.120000000003</v>
      </c>
      <c r="O83" s="113">
        <f t="shared" si="49"/>
        <v>22882.961033500003</v>
      </c>
      <c r="P83" s="109">
        <f t="shared" ref="P83:P99" si="50">SUM(D83:O83)</f>
        <v>272774.96280896908</v>
      </c>
      <c r="Q83" s="92"/>
      <c r="R83" s="92"/>
      <c r="S83" s="92"/>
      <c r="T83" s="92"/>
      <c r="U83" s="92"/>
      <c r="V83" s="92"/>
    </row>
    <row r="84" spans="1:22">
      <c r="A84" s="23">
        <f t="shared" ref="A84:A100" si="51">A83+1</f>
        <v>84</v>
      </c>
      <c r="B84" s="191" t="s">
        <v>101</v>
      </c>
      <c r="C84" s="230"/>
      <c r="D84" s="222">
        <f>ROUND(D83*8%,0)</f>
        <v>1710</v>
      </c>
      <c r="E84" s="114">
        <f t="shared" ref="E84:O84" si="52">ROUND(E83*8%,0)</f>
        <v>1760</v>
      </c>
      <c r="F84" s="114">
        <f t="shared" si="52"/>
        <v>1760</v>
      </c>
      <c r="G84" s="114">
        <f t="shared" si="52"/>
        <v>1760</v>
      </c>
      <c r="H84" s="114">
        <f t="shared" si="52"/>
        <v>1760</v>
      </c>
      <c r="I84" s="114">
        <f t="shared" si="52"/>
        <v>1760</v>
      </c>
      <c r="J84" s="114">
        <f t="shared" si="52"/>
        <v>1760</v>
      </c>
      <c r="K84" s="114">
        <f t="shared" si="52"/>
        <v>1760</v>
      </c>
      <c r="L84" s="114">
        <f t="shared" si="52"/>
        <v>1892</v>
      </c>
      <c r="M84" s="114">
        <f t="shared" si="52"/>
        <v>2176</v>
      </c>
      <c r="N84" s="114">
        <f t="shared" si="52"/>
        <v>1892</v>
      </c>
      <c r="O84" s="114">
        <f t="shared" si="52"/>
        <v>1831</v>
      </c>
      <c r="P84" s="111">
        <f t="shared" si="50"/>
        <v>21821</v>
      </c>
      <c r="Q84" s="92"/>
      <c r="R84" s="92"/>
      <c r="S84" s="92"/>
      <c r="T84" s="92"/>
      <c r="U84" s="92"/>
      <c r="V84" s="92"/>
    </row>
    <row r="85" spans="1:22">
      <c r="A85" s="23">
        <f t="shared" si="51"/>
        <v>85</v>
      </c>
      <c r="B85" s="191" t="s">
        <v>102</v>
      </c>
      <c r="C85" s="230"/>
      <c r="D85" s="222">
        <f>D83-D84</f>
        <v>19660.451889013122</v>
      </c>
      <c r="E85" s="114">
        <f t="shared" ref="E85:O85" si="53">E83-E84</f>
        <v>20242.389999999996</v>
      </c>
      <c r="F85" s="114">
        <f t="shared" si="53"/>
        <v>20242.389999999996</v>
      </c>
      <c r="G85" s="114">
        <f t="shared" si="53"/>
        <v>20242.389999999996</v>
      </c>
      <c r="H85" s="114">
        <f t="shared" si="53"/>
        <v>20242.389999999996</v>
      </c>
      <c r="I85" s="114">
        <f t="shared" si="53"/>
        <v>20242.389999999996</v>
      </c>
      <c r="J85" s="114">
        <f t="shared" si="53"/>
        <v>20242.389999999996</v>
      </c>
      <c r="K85" s="114">
        <f t="shared" si="53"/>
        <v>20242.389999999996</v>
      </c>
      <c r="L85" s="114">
        <f t="shared" si="53"/>
        <v>21761.120000000003</v>
      </c>
      <c r="M85" s="114">
        <f t="shared" si="53"/>
        <v>25022.579886455995</v>
      </c>
      <c r="N85" s="114">
        <f t="shared" si="53"/>
        <v>21761.120000000003</v>
      </c>
      <c r="O85" s="114">
        <f t="shared" si="53"/>
        <v>21051.961033500003</v>
      </c>
      <c r="P85" s="111">
        <f t="shared" si="50"/>
        <v>250953.96280896908</v>
      </c>
      <c r="Q85" s="92"/>
      <c r="R85" s="92"/>
      <c r="S85" s="92"/>
      <c r="T85" s="92"/>
      <c r="U85" s="92"/>
      <c r="V85" s="92"/>
    </row>
    <row r="86" spans="1:22">
      <c r="A86" s="23">
        <f t="shared" si="51"/>
        <v>86</v>
      </c>
      <c r="B86" s="191" t="s">
        <v>115</v>
      </c>
      <c r="C86" s="230"/>
      <c r="D86" s="222">
        <f t="shared" ref="D86:O86" si="54">ROUND(D85-D27,-1)</f>
        <v>14160</v>
      </c>
      <c r="E86" s="114">
        <f t="shared" si="54"/>
        <v>14740</v>
      </c>
      <c r="F86" s="114">
        <f t="shared" si="54"/>
        <v>14740</v>
      </c>
      <c r="G86" s="114">
        <f t="shared" si="54"/>
        <v>14740</v>
      </c>
      <c r="H86" s="114">
        <f t="shared" si="54"/>
        <v>14740</v>
      </c>
      <c r="I86" s="114">
        <f t="shared" si="54"/>
        <v>14740</v>
      </c>
      <c r="J86" s="114">
        <f t="shared" si="54"/>
        <v>14740</v>
      </c>
      <c r="K86" s="114">
        <f t="shared" si="54"/>
        <v>14740</v>
      </c>
      <c r="L86" s="114">
        <f t="shared" si="54"/>
        <v>16260</v>
      </c>
      <c r="M86" s="114">
        <f t="shared" si="54"/>
        <v>19520</v>
      </c>
      <c r="N86" s="114">
        <f t="shared" si="54"/>
        <v>16260</v>
      </c>
      <c r="O86" s="114">
        <f t="shared" si="54"/>
        <v>15550</v>
      </c>
      <c r="P86" s="111"/>
      <c r="Q86" s="92"/>
      <c r="R86" s="92"/>
      <c r="S86" s="92"/>
      <c r="T86" s="92"/>
      <c r="U86" s="92"/>
      <c r="V86" s="92"/>
    </row>
    <row r="87" spans="1:22">
      <c r="A87" s="23">
        <f t="shared" si="51"/>
        <v>87</v>
      </c>
      <c r="B87" s="191" t="s">
        <v>103</v>
      </c>
      <c r="C87" s="230"/>
      <c r="D87" s="222">
        <f t="shared" ref="D87:O87" si="55">ROUND(D86*D26/100,0)</f>
        <v>5664</v>
      </c>
      <c r="E87" s="114">
        <f t="shared" si="55"/>
        <v>5896</v>
      </c>
      <c r="F87" s="114">
        <f t="shared" si="55"/>
        <v>5896</v>
      </c>
      <c r="G87" s="114">
        <f t="shared" si="55"/>
        <v>5896</v>
      </c>
      <c r="H87" s="114">
        <f t="shared" si="55"/>
        <v>5896</v>
      </c>
      <c r="I87" s="114">
        <f t="shared" si="55"/>
        <v>5896</v>
      </c>
      <c r="J87" s="114">
        <f t="shared" si="55"/>
        <v>5896</v>
      </c>
      <c r="K87" s="114">
        <f t="shared" si="55"/>
        <v>5896</v>
      </c>
      <c r="L87" s="114">
        <f t="shared" si="55"/>
        <v>6504</v>
      </c>
      <c r="M87" s="114">
        <f t="shared" si="55"/>
        <v>7808</v>
      </c>
      <c r="N87" s="114">
        <f t="shared" si="55"/>
        <v>6504</v>
      </c>
      <c r="O87" s="114">
        <f t="shared" si="55"/>
        <v>6220</v>
      </c>
      <c r="P87" s="111">
        <f t="shared" si="50"/>
        <v>73972</v>
      </c>
      <c r="Q87" s="92"/>
      <c r="R87" s="92"/>
      <c r="S87" s="92"/>
      <c r="T87" s="92"/>
      <c r="U87" s="92"/>
      <c r="V87" s="92"/>
    </row>
    <row r="88" spans="1:22">
      <c r="A88" s="23">
        <f t="shared" si="51"/>
        <v>88</v>
      </c>
      <c r="B88" s="191" t="s">
        <v>371</v>
      </c>
      <c r="C88" s="243">
        <f>Ex12_13!P89</f>
        <v>126534.11802795838</v>
      </c>
      <c r="D88" s="222">
        <f>SUM(D44:D63)</f>
        <v>21460.451889013122</v>
      </c>
      <c r="E88" s="114">
        <f>SUM(E44:E63)</f>
        <v>22092.389999999996</v>
      </c>
      <c r="F88" s="114">
        <f>SUM(F44:F63)</f>
        <v>22092.389999999996</v>
      </c>
      <c r="G88" s="114">
        <f>SUM(G44:G63)</f>
        <v>22092.389999999996</v>
      </c>
      <c r="H88" s="114">
        <f>SUM(H44:H63)</f>
        <v>22092.389999999996</v>
      </c>
      <c r="I88" s="143" t="s">
        <v>220</v>
      </c>
      <c r="J88" s="165"/>
      <c r="K88" s="165"/>
      <c r="L88" s="165"/>
      <c r="M88" s="165"/>
      <c r="N88" s="165"/>
      <c r="O88" s="165"/>
      <c r="P88" s="111">
        <f>SUM(C88:H88)</f>
        <v>236364.12991697143</v>
      </c>
      <c r="Q88" s="92"/>
      <c r="R88" s="92"/>
      <c r="S88" s="92"/>
      <c r="T88" s="92"/>
      <c r="U88" s="92"/>
      <c r="V88" s="92"/>
    </row>
    <row r="89" spans="1:22">
      <c r="A89" s="23">
        <f t="shared" si="51"/>
        <v>89</v>
      </c>
      <c r="B89" s="191" t="s">
        <v>372</v>
      </c>
      <c r="C89" s="233"/>
      <c r="D89" s="144" t="s">
        <v>220</v>
      </c>
      <c r="E89" s="165"/>
      <c r="F89" s="165"/>
      <c r="G89" s="165"/>
      <c r="H89" s="165"/>
      <c r="I89" s="114">
        <f>SUM(I44:I63)</f>
        <v>22092.389999999996</v>
      </c>
      <c r="J89" s="114">
        <f>SUM(J44:J63)</f>
        <v>22092.389999999996</v>
      </c>
      <c r="K89" s="114">
        <f>SUM(K44:K63)</f>
        <v>22092.389999999996</v>
      </c>
      <c r="L89" s="114">
        <f>SUM(L44:L63)</f>
        <v>23743.120000000003</v>
      </c>
      <c r="M89" s="114">
        <f>SUM(M44:M63)-M37</f>
        <v>23743.119886455996</v>
      </c>
      <c r="N89" s="114">
        <f>SUM(N44:N63)-N37</f>
        <v>23743.120000000003</v>
      </c>
      <c r="O89" s="114">
        <f>SUM(O44:O63)-O37</f>
        <v>22972.961033500003</v>
      </c>
      <c r="P89" s="111">
        <f t="shared" si="50"/>
        <v>160479.49091995598</v>
      </c>
      <c r="Q89" s="92"/>
      <c r="R89" s="92"/>
      <c r="S89" s="92"/>
      <c r="T89" s="92"/>
      <c r="U89" s="92"/>
      <c r="V89" s="92"/>
    </row>
    <row r="90" spans="1:22">
      <c r="A90" s="23">
        <f t="shared" si="51"/>
        <v>90</v>
      </c>
      <c r="B90" s="191" t="s">
        <v>193</v>
      </c>
      <c r="C90" s="230"/>
      <c r="D90" s="222">
        <f>D81</f>
        <v>1183.49693646375</v>
      </c>
      <c r="E90" s="114">
        <f t="shared" ref="E90:O90" si="56">E81</f>
        <v>1218.54</v>
      </c>
      <c r="F90" s="114">
        <f t="shared" si="56"/>
        <v>1218.54</v>
      </c>
      <c r="G90" s="114">
        <f t="shared" si="56"/>
        <v>1218.54</v>
      </c>
      <c r="H90" s="114">
        <f t="shared" si="56"/>
        <v>1218.54</v>
      </c>
      <c r="I90" s="114">
        <f t="shared" si="56"/>
        <v>1218.54</v>
      </c>
      <c r="J90" s="114">
        <f t="shared" si="56"/>
        <v>1218.54</v>
      </c>
      <c r="K90" s="114">
        <f t="shared" si="56"/>
        <v>1218.54</v>
      </c>
      <c r="L90" s="114">
        <f t="shared" si="56"/>
        <v>1311.1299999999999</v>
      </c>
      <c r="M90" s="114">
        <f t="shared" si="56"/>
        <v>1311.12999978627</v>
      </c>
      <c r="N90" s="114">
        <f t="shared" si="56"/>
        <v>1311.1299999999999</v>
      </c>
      <c r="O90" s="114">
        <f t="shared" si="56"/>
        <v>1268.3840274999998</v>
      </c>
      <c r="P90" s="111">
        <f t="shared" si="50"/>
        <v>14915.050963750018</v>
      </c>
      <c r="Q90" s="92"/>
      <c r="R90" s="92"/>
      <c r="S90" s="92"/>
      <c r="T90" s="92"/>
      <c r="U90" s="92"/>
      <c r="V90" s="92"/>
    </row>
    <row r="91" spans="1:22">
      <c r="A91" s="23">
        <f t="shared" si="51"/>
        <v>91</v>
      </c>
      <c r="B91" s="191" t="s">
        <v>197</v>
      </c>
      <c r="C91" s="230"/>
      <c r="D91" s="222">
        <f>D90*2</f>
        <v>2366.9938729275</v>
      </c>
      <c r="E91" s="114">
        <f t="shared" ref="E91:O91" si="57">E90*2</f>
        <v>2437.08</v>
      </c>
      <c r="F91" s="114">
        <f t="shared" si="57"/>
        <v>2437.08</v>
      </c>
      <c r="G91" s="114">
        <f t="shared" si="57"/>
        <v>2437.08</v>
      </c>
      <c r="H91" s="114">
        <f t="shared" si="57"/>
        <v>2437.08</v>
      </c>
      <c r="I91" s="114">
        <f t="shared" si="57"/>
        <v>2437.08</v>
      </c>
      <c r="J91" s="114">
        <f t="shared" si="57"/>
        <v>2437.08</v>
      </c>
      <c r="K91" s="114">
        <f t="shared" si="57"/>
        <v>2437.08</v>
      </c>
      <c r="L91" s="114">
        <f t="shared" si="57"/>
        <v>2622.2599999999998</v>
      </c>
      <c r="M91" s="114">
        <f t="shared" si="57"/>
        <v>2622.25999957254</v>
      </c>
      <c r="N91" s="114">
        <f t="shared" si="57"/>
        <v>2622.2599999999998</v>
      </c>
      <c r="O91" s="114">
        <f t="shared" si="57"/>
        <v>2536.7680549999995</v>
      </c>
      <c r="P91" s="111">
        <f t="shared" si="50"/>
        <v>29830.101927500036</v>
      </c>
      <c r="Q91" s="92"/>
      <c r="R91" s="92"/>
      <c r="S91" s="92"/>
      <c r="T91" s="92"/>
      <c r="U91" s="92"/>
      <c r="V91" s="92"/>
    </row>
    <row r="92" spans="1:22">
      <c r="A92" s="23">
        <f t="shared" si="51"/>
        <v>92</v>
      </c>
      <c r="B92" s="191" t="s">
        <v>46</v>
      </c>
      <c r="C92" s="230"/>
      <c r="D92" s="222">
        <f>D94*2/3</f>
        <v>180</v>
      </c>
      <c r="E92" s="114">
        <f t="shared" ref="E92:O92" si="58">E94*2/3</f>
        <v>180</v>
      </c>
      <c r="F92" s="114">
        <f t="shared" si="58"/>
        <v>180</v>
      </c>
      <c r="G92" s="114">
        <f t="shared" si="58"/>
        <v>180</v>
      </c>
      <c r="H92" s="114">
        <f t="shared" si="58"/>
        <v>180</v>
      </c>
      <c r="I92" s="114">
        <f t="shared" si="58"/>
        <v>180</v>
      </c>
      <c r="J92" s="114">
        <f t="shared" si="58"/>
        <v>180</v>
      </c>
      <c r="K92" s="114">
        <f t="shared" si="58"/>
        <v>180</v>
      </c>
      <c r="L92" s="114">
        <f t="shared" si="58"/>
        <v>180</v>
      </c>
      <c r="M92" s="114">
        <f t="shared" si="58"/>
        <v>180</v>
      </c>
      <c r="N92" s="114">
        <f t="shared" si="58"/>
        <v>180</v>
      </c>
      <c r="O92" s="114">
        <f t="shared" si="58"/>
        <v>180</v>
      </c>
      <c r="P92" s="111">
        <f t="shared" si="50"/>
        <v>2160</v>
      </c>
      <c r="Q92" s="92"/>
      <c r="R92" s="92"/>
      <c r="S92" s="92"/>
      <c r="T92" s="92"/>
      <c r="U92" s="92"/>
      <c r="V92" s="92"/>
    </row>
    <row r="93" spans="1:22">
      <c r="A93" s="23">
        <f t="shared" si="51"/>
        <v>93</v>
      </c>
      <c r="B93" s="191" t="s">
        <v>120</v>
      </c>
      <c r="C93" s="230"/>
      <c r="D93" s="222">
        <f>D90+D91</f>
        <v>3550.49080939125</v>
      </c>
      <c r="E93" s="114">
        <f t="shared" ref="E93:O93" si="59">E90+E91</f>
        <v>3655.62</v>
      </c>
      <c r="F93" s="114">
        <f t="shared" si="59"/>
        <v>3655.62</v>
      </c>
      <c r="G93" s="114">
        <f t="shared" si="59"/>
        <v>3655.62</v>
      </c>
      <c r="H93" s="114">
        <f t="shared" si="59"/>
        <v>3655.62</v>
      </c>
      <c r="I93" s="114">
        <f t="shared" si="59"/>
        <v>3655.62</v>
      </c>
      <c r="J93" s="114">
        <f t="shared" si="59"/>
        <v>3655.62</v>
      </c>
      <c r="K93" s="114">
        <f t="shared" si="59"/>
        <v>3655.62</v>
      </c>
      <c r="L93" s="114">
        <f t="shared" si="59"/>
        <v>3933.3899999999994</v>
      </c>
      <c r="M93" s="114">
        <f t="shared" si="59"/>
        <v>3933.3899993588102</v>
      </c>
      <c r="N93" s="114">
        <f t="shared" si="59"/>
        <v>3933.3899999999994</v>
      </c>
      <c r="O93" s="114">
        <f t="shared" si="59"/>
        <v>3805.1520824999993</v>
      </c>
      <c r="P93" s="111">
        <f t="shared" si="50"/>
        <v>44745.152891250058</v>
      </c>
      <c r="Q93" s="92"/>
      <c r="R93" s="92"/>
      <c r="S93" s="92"/>
      <c r="T93" s="92"/>
      <c r="U93" s="92"/>
      <c r="V93" s="92"/>
    </row>
    <row r="94" spans="1:22">
      <c r="A94" s="23">
        <f t="shared" si="51"/>
        <v>94</v>
      </c>
      <c r="B94" s="191" t="s">
        <v>121</v>
      </c>
      <c r="C94" s="230"/>
      <c r="D94" s="222">
        <f t="shared" ref="D94:O94" si="60">90*(((D8*D3)&gt;=9/37)+((D8*D3)&gt;=18/37)+((D8*D3)&gt;=27/37))</f>
        <v>270</v>
      </c>
      <c r="E94" s="222">
        <f t="shared" si="60"/>
        <v>270</v>
      </c>
      <c r="F94" s="222">
        <f t="shared" si="60"/>
        <v>270</v>
      </c>
      <c r="G94" s="222">
        <f t="shared" si="60"/>
        <v>270</v>
      </c>
      <c r="H94" s="222">
        <f t="shared" si="60"/>
        <v>270</v>
      </c>
      <c r="I94" s="114">
        <f t="shared" si="60"/>
        <v>270</v>
      </c>
      <c r="J94" s="114">
        <f t="shared" si="60"/>
        <v>270</v>
      </c>
      <c r="K94" s="114">
        <f t="shared" si="60"/>
        <v>270</v>
      </c>
      <c r="L94" s="114">
        <f t="shared" si="60"/>
        <v>270</v>
      </c>
      <c r="M94" s="114">
        <f t="shared" si="60"/>
        <v>270</v>
      </c>
      <c r="N94" s="114">
        <f t="shared" si="60"/>
        <v>270</v>
      </c>
      <c r="O94" s="114">
        <f t="shared" si="60"/>
        <v>270</v>
      </c>
      <c r="P94" s="111">
        <f t="shared" si="50"/>
        <v>3240</v>
      </c>
      <c r="Q94" s="92"/>
      <c r="R94" s="92"/>
      <c r="S94" s="92"/>
      <c r="T94" s="92"/>
      <c r="U94" s="92"/>
      <c r="V94" s="92"/>
    </row>
    <row r="95" spans="1:22">
      <c r="A95" s="23">
        <f t="shared" si="51"/>
        <v>95</v>
      </c>
      <c r="B95" s="191" t="s">
        <v>144</v>
      </c>
      <c r="C95" s="230"/>
      <c r="D95" s="222">
        <f t="shared" ref="D95:O95" si="61">IF(OR(LEFT(D5)="P",LEFT(D5)="E"),VLOOKUP(VALUE(MID(D5,2,2)),Skalalontabel12,7,0)*D6/12*15%*MIN(1,D8)*D3,0)</f>
        <v>0</v>
      </c>
      <c r="E95" s="222">
        <f t="shared" si="61"/>
        <v>0</v>
      </c>
      <c r="F95" s="222">
        <f t="shared" si="61"/>
        <v>0</v>
      </c>
      <c r="G95" s="222">
        <f t="shared" si="61"/>
        <v>0</v>
      </c>
      <c r="H95" s="222">
        <f t="shared" si="61"/>
        <v>0</v>
      </c>
      <c r="I95" s="222">
        <f t="shared" si="61"/>
        <v>0</v>
      </c>
      <c r="J95" s="222">
        <f t="shared" si="61"/>
        <v>0</v>
      </c>
      <c r="K95" s="222">
        <f t="shared" si="61"/>
        <v>0</v>
      </c>
      <c r="L95" s="222">
        <f t="shared" si="61"/>
        <v>0</v>
      </c>
      <c r="M95" s="222">
        <f t="shared" si="61"/>
        <v>0</v>
      </c>
      <c r="N95" s="222">
        <f t="shared" si="61"/>
        <v>0</v>
      </c>
      <c r="O95" s="222">
        <f t="shared" si="61"/>
        <v>0</v>
      </c>
      <c r="P95" s="111">
        <f t="shared" si="50"/>
        <v>0</v>
      </c>
      <c r="Q95" s="92"/>
      <c r="R95" s="92"/>
      <c r="S95" s="92"/>
      <c r="T95" s="92"/>
      <c r="U95" s="92"/>
      <c r="V95" s="92"/>
    </row>
    <row r="96" spans="1:22">
      <c r="A96" s="23">
        <f t="shared" si="51"/>
        <v>96</v>
      </c>
      <c r="B96" s="191" t="s">
        <v>104</v>
      </c>
      <c r="C96" s="230"/>
      <c r="D96" s="222">
        <f>108.35*(D8&gt;=0.4054)</f>
        <v>108.35</v>
      </c>
      <c r="E96" s="114">
        <f t="shared" ref="E96:J96" si="62">108.35*(E8&gt;0)</f>
        <v>108.35</v>
      </c>
      <c r="F96" s="114">
        <f t="shared" si="62"/>
        <v>108.35</v>
      </c>
      <c r="G96" s="114">
        <f t="shared" si="62"/>
        <v>108.35</v>
      </c>
      <c r="H96" s="114">
        <f t="shared" si="62"/>
        <v>108.35</v>
      </c>
      <c r="I96" s="114">
        <f t="shared" si="62"/>
        <v>108.35</v>
      </c>
      <c r="J96" s="114">
        <f t="shared" si="62"/>
        <v>108.35</v>
      </c>
      <c r="K96" s="114">
        <f>108.35*(K8&gt;0)</f>
        <v>108.35</v>
      </c>
      <c r="L96" s="114">
        <f>108.35*(L8&gt;0)</f>
        <v>108.35</v>
      </c>
      <c r="M96" s="114">
        <f>108.35*(M8&gt;0)</f>
        <v>108.35</v>
      </c>
      <c r="N96" s="114">
        <f>108.35*(N8&gt;0)</f>
        <v>108.35</v>
      </c>
      <c r="O96" s="114">
        <f>108.35*(O8&gt;0)</f>
        <v>108.35</v>
      </c>
      <c r="P96" s="111">
        <f t="shared" si="50"/>
        <v>1300.1999999999998</v>
      </c>
      <c r="Q96" s="92"/>
      <c r="R96" s="92"/>
      <c r="S96" s="92"/>
      <c r="T96" s="92"/>
      <c r="U96" s="92"/>
      <c r="V96" s="92"/>
    </row>
    <row r="97" spans="1:22">
      <c r="A97" s="23">
        <f t="shared" si="51"/>
        <v>97</v>
      </c>
      <c r="B97" s="192" t="s">
        <v>228</v>
      </c>
      <c r="C97" s="230"/>
      <c r="D97" s="223">
        <f>D65-(D87+D82+D84+D96)</f>
        <v>13888.101889013122</v>
      </c>
      <c r="E97" s="223">
        <f t="shared" ref="E97:O97" si="63">E65-(E87+E82+E84+E96)</f>
        <v>14238.039999999995</v>
      </c>
      <c r="F97" s="223">
        <f t="shared" si="63"/>
        <v>14238.039999999995</v>
      </c>
      <c r="G97" s="223">
        <f t="shared" si="63"/>
        <v>14238.039999999995</v>
      </c>
      <c r="H97" s="223">
        <f t="shared" si="63"/>
        <v>14238.039999999995</v>
      </c>
      <c r="I97" s="223">
        <f t="shared" si="63"/>
        <v>14238.039999999995</v>
      </c>
      <c r="J97" s="223">
        <f t="shared" si="63"/>
        <v>14238.039999999995</v>
      </c>
      <c r="K97" s="223">
        <f t="shared" si="63"/>
        <v>14238.039999999995</v>
      </c>
      <c r="L97" s="223">
        <f t="shared" si="63"/>
        <v>15148.770000000002</v>
      </c>
      <c r="M97" s="223">
        <f t="shared" si="63"/>
        <v>17106.229886455993</v>
      </c>
      <c r="N97" s="223">
        <f t="shared" si="63"/>
        <v>15148.770000000002</v>
      </c>
      <c r="O97" s="223">
        <f t="shared" si="63"/>
        <v>14723.611033500003</v>
      </c>
      <c r="P97" s="119">
        <f>SUM(C97:O97)</f>
        <v>175681.76280896907</v>
      </c>
      <c r="Q97" s="91"/>
      <c r="R97" s="91"/>
      <c r="S97" s="92"/>
      <c r="T97" s="92"/>
      <c r="U97" s="92"/>
      <c r="V97" s="92"/>
    </row>
    <row r="98" spans="1:22">
      <c r="A98" s="23">
        <f t="shared" si="51"/>
        <v>98</v>
      </c>
      <c r="B98" s="121" t="s">
        <v>373</v>
      </c>
      <c r="C98" s="243">
        <f>Ex12_13!P99</f>
        <v>114136.9778009248</v>
      </c>
      <c r="D98" s="142">
        <f>(SUM(D44:D63)+D81)*(1-12/260*D21)</f>
        <v>17418.422173443745</v>
      </c>
      <c r="E98" s="140">
        <f>(SUM(E44:E63)+E81)*(1-12/260*E21)</f>
        <v>23310.929999999997</v>
      </c>
      <c r="F98" s="140">
        <f>(SUM(F44:F63)+F81)*(1-12/260*F21)</f>
        <v>23310.929999999997</v>
      </c>
      <c r="G98" s="140">
        <f>(SUM(G44:G63)+G81)*(1-12/260*G21)</f>
        <v>23310.929999999997</v>
      </c>
      <c r="H98" s="146">
        <f>(SUM(H44:H63)+H81)*(1-12/260*H21)</f>
        <v>23310.929999999997</v>
      </c>
      <c r="I98" s="143" t="s">
        <v>233</v>
      </c>
      <c r="J98" s="123"/>
      <c r="K98" s="123"/>
      <c r="L98" s="123"/>
      <c r="M98" s="123"/>
      <c r="N98" s="123"/>
      <c r="O98" s="123"/>
      <c r="P98" s="111">
        <f>SUM(C98:H98)</f>
        <v>224799.11997436851</v>
      </c>
      <c r="Q98" s="130"/>
      <c r="R98" s="130"/>
      <c r="S98" s="92"/>
      <c r="T98" s="92"/>
      <c r="U98" s="92"/>
      <c r="V98" s="92"/>
    </row>
    <row r="99" spans="1:22">
      <c r="A99" s="23">
        <f t="shared" si="51"/>
        <v>99</v>
      </c>
      <c r="B99" s="193" t="s">
        <v>374</v>
      </c>
      <c r="C99" s="233"/>
      <c r="D99" s="144" t="s">
        <v>233</v>
      </c>
      <c r="E99" s="139"/>
      <c r="F99" s="139"/>
      <c r="G99" s="139"/>
      <c r="H99" s="141"/>
      <c r="I99" s="142">
        <f>(SUM(I$44:I$63)+I$81)*(1-12/260*I$21)</f>
        <v>23310.929999999997</v>
      </c>
      <c r="J99" s="140">
        <f>(SUM(J$44:J$63)+J$81)*(1-12/260*J$21)</f>
        <v>23310.929999999997</v>
      </c>
      <c r="K99" s="140">
        <f>(SUM(K$44:K$63)+K$81)*(1-12/260*K$21)</f>
        <v>23310.929999999997</v>
      </c>
      <c r="L99" s="140">
        <f>(SUM(L$44:L$63)+L$81)*(1-12/260*L$21)</f>
        <v>25054.250000000004</v>
      </c>
      <c r="M99" s="140">
        <f>(SUM(M$44:M$63)-M37+M$81)*(1-12/260*M$21)</f>
        <v>25054.249770607265</v>
      </c>
      <c r="N99" s="140">
        <f>(SUM(N$44:N$63)-N37+N$81)*(1-12/260*N$21)</f>
        <v>25054.250000000004</v>
      </c>
      <c r="O99" s="140">
        <f>(SUM(O$44:O$63)-O37+O$81)*(1-12/260*O$21)</f>
        <v>1864.7188508461529</v>
      </c>
      <c r="P99" s="145">
        <f t="shared" si="50"/>
        <v>146960.25862145339</v>
      </c>
      <c r="Q99" s="130"/>
      <c r="R99" s="130"/>
      <c r="S99" s="92"/>
      <c r="T99" s="92"/>
      <c r="U99" s="92"/>
      <c r="V99" s="92"/>
    </row>
    <row r="100" spans="1:22" s="124" customFormat="1">
      <c r="A100" s="23">
        <f t="shared" si="51"/>
        <v>100</v>
      </c>
      <c r="B100" s="136" t="s">
        <v>234</v>
      </c>
      <c r="C100" s="231"/>
      <c r="D100" s="224">
        <f>IF(D8&gt;0,(D44+D45+D52+D53+D54+D55+D56+D57)/D8,0)</f>
        <v>25844.712499999994</v>
      </c>
      <c r="E100" s="137">
        <f t="shared" ref="E100:O100" si="64">IF(E8&gt;0,(E44+E45+E52+E53+E54+E55+E56+E57)/E8,0)</f>
        <v>25844.712499999994</v>
      </c>
      <c r="F100" s="137">
        <f t="shared" si="64"/>
        <v>25844.712499999994</v>
      </c>
      <c r="G100" s="137">
        <f t="shared" si="64"/>
        <v>25844.712499999994</v>
      </c>
      <c r="H100" s="137">
        <f t="shared" si="64"/>
        <v>25844.712499999994</v>
      </c>
      <c r="I100" s="137">
        <f t="shared" si="64"/>
        <v>25844.712499999994</v>
      </c>
      <c r="J100" s="137">
        <f t="shared" si="64"/>
        <v>25844.712499999994</v>
      </c>
      <c r="K100" s="137">
        <f t="shared" si="64"/>
        <v>25844.712499999994</v>
      </c>
      <c r="L100" s="137">
        <f t="shared" si="64"/>
        <v>27783.512500000001</v>
      </c>
      <c r="M100" s="137">
        <f t="shared" si="64"/>
        <v>27783.512500000001</v>
      </c>
      <c r="N100" s="137">
        <f t="shared" si="64"/>
        <v>27783.512500000001</v>
      </c>
      <c r="O100" s="137">
        <f t="shared" si="64"/>
        <v>27783.512500000001</v>
      </c>
      <c r="P100" s="138"/>
      <c r="Q100" s="92"/>
      <c r="R100" s="92"/>
      <c r="S100" s="92"/>
      <c r="T100" s="92"/>
      <c r="U100" s="92"/>
      <c r="V100" s="92"/>
    </row>
    <row r="101" spans="1:22" s="124" customFormat="1" ht="13" thickBot="1">
      <c r="A101" s="23">
        <f>A100+1</f>
        <v>101</v>
      </c>
      <c r="B101" s="124" t="s">
        <v>268</v>
      </c>
      <c r="C101" s="231"/>
      <c r="D101" s="125">
        <f>IF(D8&gt;0,(D66+D73+D74+D76+D77)/D8,0)</f>
        <v>1433.175</v>
      </c>
      <c r="E101" s="125">
        <f t="shared" ref="E101:O101" si="65">IF(E8&gt;0,(E66+E73+E74+E76+E77)/E8,0)</f>
        <v>1433.175</v>
      </c>
      <c r="F101" s="125">
        <f t="shared" si="65"/>
        <v>1433.175</v>
      </c>
      <c r="G101" s="125">
        <f t="shared" si="65"/>
        <v>1433.175</v>
      </c>
      <c r="H101" s="125">
        <f t="shared" si="65"/>
        <v>1433.175</v>
      </c>
      <c r="I101" s="125">
        <f t="shared" si="65"/>
        <v>1433.175</v>
      </c>
      <c r="J101" s="125">
        <f t="shared" si="65"/>
        <v>1433.175</v>
      </c>
      <c r="K101" s="125">
        <f t="shared" si="65"/>
        <v>1433.175</v>
      </c>
      <c r="L101" s="125">
        <f t="shared" si="65"/>
        <v>1542.0624999999998</v>
      </c>
      <c r="M101" s="125">
        <f t="shared" si="65"/>
        <v>1542.0624999999998</v>
      </c>
      <c r="N101" s="125">
        <f t="shared" si="65"/>
        <v>1542.0624999999998</v>
      </c>
      <c r="O101" s="125">
        <f t="shared" si="65"/>
        <v>1542.0624999999998</v>
      </c>
      <c r="P101" s="126"/>
      <c r="Q101" s="92"/>
      <c r="R101" s="92"/>
      <c r="S101" s="92"/>
      <c r="T101" s="92"/>
      <c r="U101" s="92"/>
      <c r="V101" s="92"/>
    </row>
    <row r="102" spans="1:22" ht="13" thickTop="1">
      <c r="A102" s="132">
        <f>A101+1</f>
        <v>102</v>
      </c>
      <c r="B102" s="133" t="s">
        <v>97</v>
      </c>
      <c r="C102" s="232"/>
      <c r="D102" s="157">
        <f t="shared" ref="D102:O102" si="66">IF(LEFT(D$4)&lt;&gt;"b",IF(D$9&gt;=650,650*ROUND(16.38*D$6,2)/12,D$9*ROUND(16.38*D$6,2)/12),IF(D$9&gt;=750,750*ROUND(22.41*D$6,2)/12,D$9*ROUND(22.41*D$6,2)/12))</f>
        <v>1248.5</v>
      </c>
      <c r="E102" s="157">
        <f t="shared" si="66"/>
        <v>1248.5</v>
      </c>
      <c r="F102" s="157">
        <f t="shared" si="66"/>
        <v>1248.5</v>
      </c>
      <c r="G102" s="157">
        <f t="shared" si="66"/>
        <v>1248.5</v>
      </c>
      <c r="H102" s="157">
        <f t="shared" si="66"/>
        <v>1248.5</v>
      </c>
      <c r="I102" s="157">
        <f t="shared" si="66"/>
        <v>1248.5</v>
      </c>
      <c r="J102" s="157">
        <f t="shared" si="66"/>
        <v>1248.5</v>
      </c>
      <c r="K102" s="157">
        <f t="shared" si="66"/>
        <v>1248.5</v>
      </c>
      <c r="L102" s="157">
        <f t="shared" si="66"/>
        <v>1343.6499999999999</v>
      </c>
      <c r="M102" s="157">
        <f t="shared" si="66"/>
        <v>1343.6499999999999</v>
      </c>
      <c r="N102" s="157">
        <f t="shared" si="66"/>
        <v>1343.6499999999999</v>
      </c>
      <c r="O102" s="157">
        <f t="shared" si="66"/>
        <v>1343.6499999999999</v>
      </c>
      <c r="P102" s="134" t="s">
        <v>199</v>
      </c>
      <c r="Q102" s="92"/>
      <c r="R102" s="92"/>
      <c r="S102" s="92"/>
      <c r="T102" s="92"/>
      <c r="U102" s="92"/>
      <c r="V102" s="92"/>
    </row>
    <row r="103" spans="1:22">
      <c r="A103" s="23">
        <f>A102+1</f>
        <v>103</v>
      </c>
      <c r="B103" s="194" t="s">
        <v>98</v>
      </c>
      <c r="C103" s="232"/>
      <c r="D103" s="115">
        <f t="shared" ref="D103:O103" si="67">IF(LEFT(D$4)&lt;&gt;"b",IF(D$9&gt;650,IF(D$9&gt;=700,50*ROUND(98.3*D$6,2)/12,(D$9-650)*ROUND(98.3*D$6,2)/12),0),IF(D$9&gt;750,IF(D$9&gt;=800,50*ROUND(65.53*D$6,2)/12,(D$9-750)*ROUND(65.53*D$6,2)/12),0))</f>
        <v>0</v>
      </c>
      <c r="E103" s="115">
        <f t="shared" si="67"/>
        <v>0</v>
      </c>
      <c r="F103" s="115">
        <f t="shared" si="67"/>
        <v>0</v>
      </c>
      <c r="G103" s="115">
        <f t="shared" si="67"/>
        <v>0</v>
      </c>
      <c r="H103" s="115">
        <f t="shared" si="67"/>
        <v>0</v>
      </c>
      <c r="I103" s="115">
        <f t="shared" si="67"/>
        <v>0</v>
      </c>
      <c r="J103" s="115">
        <f t="shared" si="67"/>
        <v>0</v>
      </c>
      <c r="K103" s="115">
        <f t="shared" si="67"/>
        <v>0</v>
      </c>
      <c r="L103" s="115">
        <f t="shared" si="67"/>
        <v>0</v>
      </c>
      <c r="M103" s="115">
        <f t="shared" si="67"/>
        <v>0</v>
      </c>
      <c r="N103" s="115">
        <f t="shared" si="67"/>
        <v>0</v>
      </c>
      <c r="O103" s="115">
        <f t="shared" si="67"/>
        <v>0</v>
      </c>
      <c r="P103" s="116" t="s">
        <v>199</v>
      </c>
      <c r="Q103" s="92"/>
      <c r="R103" s="92"/>
      <c r="S103" s="92"/>
      <c r="T103" s="92"/>
      <c r="U103" s="92"/>
      <c r="V103" s="92"/>
    </row>
    <row r="104" spans="1:22">
      <c r="A104" s="23">
        <f>A103+1</f>
        <v>104</v>
      </c>
      <c r="B104" s="194" t="s">
        <v>179</v>
      </c>
      <c r="C104" s="232"/>
      <c r="D104" s="115">
        <f t="shared" ref="D104:O104" si="68">IF(LEFT(D$4)&lt;&gt;"b",IF(D$9&gt;700,IF(D$9&gt;=750,50*ROUND(131.07*D$6,2)/12,(D$9-700)*ROUND(131.07*D$6,2)/12),0),IF(D$9&gt;800,IF(D$9&gt;=835,35*ROUND(131.07*D$6,2)/12,(D$9-800)*ROUND(131.07*D$6,2)/12),0))</f>
        <v>0</v>
      </c>
      <c r="E104" s="115">
        <f t="shared" si="68"/>
        <v>0</v>
      </c>
      <c r="F104" s="115">
        <f t="shared" si="68"/>
        <v>0</v>
      </c>
      <c r="G104" s="115">
        <f t="shared" si="68"/>
        <v>0</v>
      </c>
      <c r="H104" s="115">
        <f t="shared" si="68"/>
        <v>0</v>
      </c>
      <c r="I104" s="115">
        <f t="shared" si="68"/>
        <v>0</v>
      </c>
      <c r="J104" s="115">
        <f t="shared" si="68"/>
        <v>0</v>
      </c>
      <c r="K104" s="115">
        <f t="shared" si="68"/>
        <v>0</v>
      </c>
      <c r="L104" s="115">
        <f t="shared" si="68"/>
        <v>0</v>
      </c>
      <c r="M104" s="115">
        <f t="shared" si="68"/>
        <v>0</v>
      </c>
      <c r="N104" s="115">
        <f t="shared" si="68"/>
        <v>0</v>
      </c>
      <c r="O104" s="115">
        <f t="shared" si="68"/>
        <v>0</v>
      </c>
      <c r="P104" s="116" t="s">
        <v>199</v>
      </c>
      <c r="Q104" s="92"/>
      <c r="R104" s="92"/>
      <c r="S104" s="92"/>
      <c r="T104" s="92"/>
      <c r="U104" s="92"/>
      <c r="V104" s="92"/>
    </row>
    <row r="105" spans="1:22">
      <c r="A105" s="23">
        <f>A104+1</f>
        <v>105</v>
      </c>
      <c r="B105" s="195" t="s">
        <v>180</v>
      </c>
      <c r="C105" s="232"/>
      <c r="D105" s="117">
        <f t="shared" ref="D105:O105" si="69">IF(LEFT(D$4)&lt;&gt;"b",IF(D$9&gt;750,(D$9-750)*ROUND(163.83*D$6,2)/12,0),IF(D$9&gt;835,(D$9-835)*ROUND(163.83*D$6,2)/12,0))</f>
        <v>0</v>
      </c>
      <c r="E105" s="117">
        <f t="shared" si="69"/>
        <v>0</v>
      </c>
      <c r="F105" s="117">
        <f t="shared" si="69"/>
        <v>0</v>
      </c>
      <c r="G105" s="117">
        <f t="shared" si="69"/>
        <v>0</v>
      </c>
      <c r="H105" s="117">
        <f t="shared" si="69"/>
        <v>0</v>
      </c>
      <c r="I105" s="117">
        <f t="shared" si="69"/>
        <v>0</v>
      </c>
      <c r="J105" s="117">
        <f t="shared" si="69"/>
        <v>0</v>
      </c>
      <c r="K105" s="117">
        <f t="shared" si="69"/>
        <v>0</v>
      </c>
      <c r="L105" s="117">
        <f t="shared" si="69"/>
        <v>0</v>
      </c>
      <c r="M105" s="117">
        <f t="shared" si="69"/>
        <v>0</v>
      </c>
      <c r="N105" s="117">
        <f t="shared" si="69"/>
        <v>0</v>
      </c>
      <c r="O105" s="117">
        <f t="shared" si="69"/>
        <v>0</v>
      </c>
      <c r="P105" s="118" t="s">
        <v>199</v>
      </c>
      <c r="Q105" s="92"/>
      <c r="R105" s="92"/>
      <c r="S105" s="92"/>
      <c r="T105" s="92"/>
      <c r="U105" s="92"/>
      <c r="V105" s="92"/>
    </row>
    <row r="106" spans="1:22">
      <c r="C106" s="245"/>
      <c r="Q106" s="92"/>
      <c r="R106" s="92"/>
      <c r="S106" s="92"/>
      <c r="T106" s="92"/>
      <c r="U106" s="92"/>
      <c r="V106" s="92"/>
    </row>
    <row r="107" spans="1:22" s="127" customFormat="1">
      <c r="A107" s="91"/>
      <c r="B107" s="92"/>
      <c r="C107" s="92"/>
      <c r="D107" s="120"/>
      <c r="E107" s="120"/>
      <c r="F107" s="120"/>
      <c r="G107" s="120"/>
      <c r="H107" s="120"/>
      <c r="I107" s="120"/>
      <c r="J107" s="120"/>
      <c r="K107" s="120"/>
      <c r="L107" s="120"/>
      <c r="M107" s="120"/>
      <c r="N107" s="120"/>
      <c r="O107" s="120"/>
      <c r="P107" s="90"/>
      <c r="Q107" s="92"/>
      <c r="R107" s="92"/>
      <c r="S107" s="92"/>
      <c r="T107" s="92"/>
      <c r="U107" s="92"/>
      <c r="V107" s="92"/>
    </row>
    <row r="108" spans="1:22" s="127" customFormat="1">
      <c r="A108" s="91"/>
      <c r="B108" s="92"/>
      <c r="C108" s="92"/>
      <c r="D108" s="120"/>
      <c r="E108" s="93"/>
      <c r="F108" s="93"/>
      <c r="G108" s="93"/>
      <c r="H108" s="93"/>
      <c r="I108" s="93"/>
      <c r="J108" s="93"/>
      <c r="K108" s="93"/>
      <c r="L108" s="93"/>
      <c r="M108" s="93"/>
      <c r="N108" s="93"/>
      <c r="O108" s="93"/>
      <c r="P108" s="90"/>
      <c r="Q108" s="92"/>
      <c r="R108" s="92"/>
      <c r="S108" s="92"/>
      <c r="T108" s="92"/>
      <c r="U108" s="92"/>
      <c r="V108" s="92"/>
    </row>
    <row r="109" spans="1:22" s="127" customFormat="1">
      <c r="A109" s="91"/>
      <c r="B109" s="92"/>
      <c r="C109" s="92"/>
      <c r="D109" s="93"/>
      <c r="E109" s="93"/>
      <c r="F109" s="93"/>
      <c r="G109" s="93"/>
      <c r="H109" s="93"/>
      <c r="I109" s="93"/>
      <c r="J109" s="93"/>
      <c r="K109" s="93"/>
      <c r="L109" s="93"/>
      <c r="M109" s="93"/>
      <c r="N109" s="93"/>
      <c r="O109" s="93"/>
      <c r="P109" s="90"/>
      <c r="Q109" s="92"/>
      <c r="R109" s="92"/>
      <c r="S109" s="92"/>
      <c r="T109" s="92"/>
      <c r="U109" s="92"/>
      <c r="V109" s="92"/>
    </row>
    <row r="110" spans="1:22" s="127" customFormat="1">
      <c r="A110" s="91"/>
      <c r="B110" s="92"/>
      <c r="C110" s="92"/>
      <c r="D110" s="93"/>
      <c r="E110" s="93"/>
      <c r="F110" s="93"/>
      <c r="G110" s="93"/>
      <c r="H110" s="93"/>
      <c r="I110" s="93"/>
      <c r="J110" s="93"/>
      <c r="K110" s="93"/>
      <c r="L110" s="93"/>
      <c r="M110" s="93"/>
      <c r="N110" s="93"/>
      <c r="O110" s="93"/>
      <c r="P110" s="90"/>
      <c r="Q110" s="92"/>
      <c r="R110" s="92"/>
      <c r="S110" s="92"/>
      <c r="T110" s="92"/>
      <c r="U110" s="92"/>
      <c r="V110" s="92"/>
    </row>
    <row r="111" spans="1:22" s="127" customFormat="1">
      <c r="A111" s="91"/>
      <c r="B111" s="92"/>
      <c r="C111" s="92"/>
      <c r="D111" s="93"/>
      <c r="E111" s="93"/>
      <c r="F111" s="93"/>
      <c r="G111" s="93"/>
      <c r="H111" s="93"/>
      <c r="I111" s="93"/>
      <c r="J111" s="93"/>
      <c r="K111" s="93"/>
      <c r="L111" s="93"/>
      <c r="M111" s="93"/>
      <c r="N111" s="93"/>
      <c r="O111" s="93"/>
      <c r="P111" s="90"/>
      <c r="Q111" s="92"/>
      <c r="R111" s="92"/>
      <c r="S111" s="92"/>
      <c r="T111" s="92"/>
      <c r="U111" s="92"/>
      <c r="V111" s="92"/>
    </row>
    <row r="112" spans="1:22">
      <c r="A112" s="85"/>
      <c r="B112" s="86"/>
      <c r="C112" s="86"/>
      <c r="D112" s="87"/>
      <c r="E112" s="87"/>
      <c r="F112" s="87"/>
      <c r="G112" s="87"/>
      <c r="H112" s="87"/>
      <c r="I112" s="87"/>
      <c r="J112" s="87"/>
      <c r="K112" s="87"/>
      <c r="L112" s="87"/>
      <c r="M112" s="87"/>
      <c r="N112" s="87"/>
      <c r="O112" s="87"/>
      <c r="P112" s="88"/>
    </row>
    <row r="113" spans="1:16">
      <c r="A113" s="85"/>
      <c r="B113" s="86"/>
      <c r="C113" s="86"/>
      <c r="D113" s="87"/>
      <c r="E113" s="87"/>
      <c r="F113" s="87"/>
      <c r="G113" s="87"/>
      <c r="H113" s="87"/>
      <c r="I113" s="87"/>
      <c r="J113" s="87"/>
      <c r="K113" s="87"/>
      <c r="L113" s="87"/>
      <c r="M113" s="87"/>
      <c r="N113" s="87"/>
      <c r="O113" s="87"/>
      <c r="P113" s="88"/>
    </row>
    <row r="114" spans="1:16">
      <c r="A114" s="85"/>
      <c r="B114" s="86"/>
      <c r="C114" s="86"/>
      <c r="D114" s="87"/>
      <c r="E114" s="87"/>
      <c r="F114" s="87"/>
      <c r="G114" s="87"/>
      <c r="H114" s="87"/>
      <c r="I114" s="87"/>
      <c r="J114" s="87"/>
      <c r="K114" s="87"/>
      <c r="L114" s="87"/>
      <c r="M114" s="87"/>
      <c r="N114" s="87"/>
      <c r="O114" s="87"/>
      <c r="P114" s="88"/>
    </row>
    <row r="115" spans="1:16">
      <c r="A115" s="85"/>
      <c r="B115" s="86"/>
      <c r="C115" s="86"/>
      <c r="D115" s="87"/>
      <c r="E115" s="87"/>
      <c r="F115" s="87"/>
      <c r="G115" s="87"/>
      <c r="H115" s="87"/>
      <c r="I115" s="87"/>
      <c r="J115" s="87"/>
      <c r="K115" s="87"/>
      <c r="L115" s="87"/>
      <c r="M115" s="87"/>
      <c r="N115" s="87"/>
      <c r="O115" s="87"/>
      <c r="P115" s="88"/>
    </row>
    <row r="116" spans="1:16">
      <c r="A116" s="85"/>
      <c r="B116" s="86"/>
      <c r="C116" s="86"/>
      <c r="D116" s="87"/>
      <c r="E116" s="87"/>
      <c r="F116" s="87"/>
      <c r="G116" s="87"/>
      <c r="H116" s="87"/>
      <c r="I116" s="87"/>
      <c r="J116" s="87"/>
      <c r="K116" s="87"/>
      <c r="L116" s="87"/>
      <c r="M116" s="87"/>
      <c r="N116" s="87"/>
      <c r="O116" s="87"/>
      <c r="P116" s="88"/>
    </row>
    <row r="117" spans="1:16">
      <c r="A117" s="85"/>
      <c r="B117" s="86"/>
      <c r="C117" s="86"/>
      <c r="D117" s="87"/>
      <c r="E117" s="87"/>
      <c r="F117" s="87"/>
      <c r="G117" s="87"/>
      <c r="H117" s="87"/>
      <c r="I117" s="87"/>
      <c r="J117" s="87"/>
      <c r="K117" s="87"/>
      <c r="L117" s="87"/>
      <c r="M117" s="87"/>
      <c r="N117" s="87"/>
      <c r="O117" s="87"/>
      <c r="P117" s="88"/>
    </row>
    <row r="118" spans="1:16">
      <c r="A118" s="85"/>
      <c r="B118" s="86"/>
      <c r="C118" s="86"/>
      <c r="D118" s="87"/>
      <c r="E118" s="87"/>
      <c r="F118" s="87"/>
      <c r="G118" s="87"/>
      <c r="H118" s="87"/>
      <c r="I118" s="87"/>
      <c r="J118" s="87"/>
      <c r="K118" s="87"/>
      <c r="L118" s="87"/>
      <c r="M118" s="87"/>
      <c r="N118" s="87"/>
      <c r="O118" s="87"/>
      <c r="P118" s="88"/>
    </row>
    <row r="119" spans="1:16">
      <c r="A119" s="85"/>
      <c r="B119" s="86"/>
      <c r="C119" s="86"/>
      <c r="D119" s="87"/>
      <c r="E119" s="87"/>
      <c r="F119" s="87"/>
      <c r="G119" s="87"/>
      <c r="H119" s="87"/>
      <c r="I119" s="87"/>
      <c r="J119" s="87"/>
      <c r="K119" s="87"/>
      <c r="L119" s="87"/>
      <c r="M119" s="87"/>
      <c r="N119" s="87"/>
      <c r="O119" s="87"/>
      <c r="P119" s="88"/>
    </row>
    <row r="120" spans="1:16">
      <c r="A120" s="85"/>
      <c r="B120" s="86"/>
      <c r="C120" s="86"/>
      <c r="D120" s="87"/>
      <c r="E120" s="87"/>
      <c r="F120" s="87"/>
      <c r="G120" s="87"/>
      <c r="H120" s="87"/>
      <c r="I120" s="87"/>
      <c r="J120" s="87"/>
      <c r="K120" s="87"/>
      <c r="L120" s="87"/>
      <c r="M120" s="87"/>
      <c r="N120" s="87"/>
      <c r="O120" s="87"/>
      <c r="P120" s="88"/>
    </row>
    <row r="121" spans="1:16">
      <c r="A121" s="85"/>
      <c r="B121" s="86"/>
      <c r="C121" s="86"/>
      <c r="D121" s="87"/>
      <c r="E121" s="87"/>
      <c r="F121" s="87"/>
      <c r="G121" s="87"/>
      <c r="H121" s="87"/>
      <c r="I121" s="87"/>
      <c r="J121" s="87"/>
      <c r="K121" s="87"/>
      <c r="L121" s="87"/>
      <c r="M121" s="87"/>
      <c r="N121" s="87"/>
      <c r="O121" s="87"/>
      <c r="P121" s="88"/>
    </row>
    <row r="122" spans="1:16">
      <c r="A122" s="85"/>
      <c r="B122" s="86"/>
      <c r="C122" s="86"/>
      <c r="D122" s="87"/>
      <c r="E122" s="87"/>
      <c r="F122" s="87"/>
      <c r="G122" s="87"/>
      <c r="H122" s="87"/>
      <c r="I122" s="87"/>
      <c r="J122" s="87"/>
      <c r="K122" s="87"/>
      <c r="L122" s="87"/>
      <c r="M122" s="87"/>
      <c r="N122" s="87"/>
      <c r="O122" s="87"/>
      <c r="P122" s="88"/>
    </row>
    <row r="123" spans="1:16">
      <c r="A123" s="85"/>
      <c r="B123" s="86"/>
      <c r="C123" s="86"/>
      <c r="D123" s="87"/>
      <c r="E123" s="87"/>
      <c r="F123" s="87"/>
      <c r="G123" s="87"/>
      <c r="H123" s="87"/>
      <c r="I123" s="87"/>
      <c r="J123" s="87"/>
      <c r="K123" s="87"/>
      <c r="L123" s="87"/>
      <c r="M123" s="87"/>
      <c r="N123" s="87"/>
      <c r="O123" s="87"/>
      <c r="P123" s="88"/>
    </row>
    <row r="124" spans="1:16">
      <c r="A124" s="85"/>
      <c r="B124" s="86"/>
      <c r="C124" s="86"/>
      <c r="D124" s="87"/>
      <c r="E124" s="87"/>
      <c r="F124" s="87"/>
      <c r="G124" s="87"/>
      <c r="H124" s="87"/>
      <c r="I124" s="87"/>
      <c r="J124" s="87"/>
      <c r="K124" s="87"/>
      <c r="L124" s="87"/>
      <c r="M124" s="87"/>
      <c r="N124" s="87"/>
      <c r="O124" s="87"/>
      <c r="P124" s="88"/>
    </row>
    <row r="125" spans="1:16">
      <c r="A125" s="85"/>
      <c r="B125" s="86"/>
      <c r="C125" s="86"/>
      <c r="D125" s="87"/>
      <c r="E125" s="87"/>
      <c r="F125" s="87"/>
      <c r="G125" s="87"/>
      <c r="H125" s="87"/>
      <c r="I125" s="87"/>
      <c r="J125" s="87"/>
      <c r="K125" s="87"/>
      <c r="L125" s="87"/>
      <c r="M125" s="87"/>
      <c r="N125" s="87"/>
      <c r="O125" s="87"/>
      <c r="P125" s="88"/>
    </row>
    <row r="126" spans="1:16">
      <c r="A126" s="85"/>
      <c r="B126" s="86"/>
      <c r="C126" s="86"/>
      <c r="D126" s="87"/>
      <c r="E126" s="87"/>
      <c r="F126" s="87"/>
      <c r="G126" s="87"/>
      <c r="H126" s="87"/>
      <c r="I126" s="87"/>
      <c r="J126" s="87"/>
      <c r="K126" s="87"/>
      <c r="L126" s="87"/>
      <c r="M126" s="87"/>
      <c r="N126" s="87"/>
      <c r="O126" s="87"/>
      <c r="P126" s="88"/>
    </row>
    <row r="127" spans="1:16">
      <c r="A127" s="85"/>
      <c r="B127" s="86"/>
      <c r="C127" s="86"/>
      <c r="D127" s="87"/>
      <c r="E127" s="87"/>
      <c r="F127" s="87"/>
      <c r="G127" s="87"/>
      <c r="H127" s="87"/>
      <c r="I127" s="87"/>
      <c r="J127" s="87"/>
      <c r="K127" s="87"/>
      <c r="L127" s="87"/>
      <c r="M127" s="87"/>
      <c r="N127" s="87"/>
      <c r="O127" s="87"/>
      <c r="P127" s="88"/>
    </row>
    <row r="128" spans="1:16">
      <c r="A128" s="85"/>
      <c r="B128" s="86"/>
      <c r="C128" s="86"/>
      <c r="D128" s="87"/>
      <c r="E128" s="87"/>
      <c r="F128" s="87"/>
      <c r="G128" s="87"/>
      <c r="H128" s="87"/>
      <c r="I128" s="87"/>
      <c r="J128" s="87"/>
      <c r="K128" s="87"/>
      <c r="L128" s="87"/>
      <c r="M128" s="87"/>
      <c r="N128" s="87"/>
      <c r="O128" s="87"/>
      <c r="P128" s="88"/>
    </row>
    <row r="129" spans="1:16">
      <c r="A129" s="85"/>
      <c r="B129" s="86"/>
      <c r="C129" s="86"/>
      <c r="D129" s="87"/>
      <c r="E129" s="87"/>
      <c r="F129" s="87"/>
      <c r="G129" s="87"/>
      <c r="H129" s="87"/>
      <c r="I129" s="87"/>
      <c r="J129" s="87"/>
      <c r="K129" s="87"/>
      <c r="L129" s="87"/>
      <c r="M129" s="87"/>
      <c r="N129" s="87"/>
      <c r="O129" s="87"/>
      <c r="P129" s="88"/>
    </row>
    <row r="130" spans="1:16">
      <c r="A130" s="85"/>
      <c r="B130" s="86"/>
      <c r="C130" s="86"/>
      <c r="D130" s="87"/>
      <c r="E130" s="87"/>
      <c r="F130" s="87"/>
      <c r="G130" s="87"/>
      <c r="H130" s="87"/>
      <c r="I130" s="87"/>
      <c r="J130" s="87"/>
      <c r="K130" s="87"/>
      <c r="L130" s="87"/>
      <c r="M130" s="87"/>
      <c r="N130" s="87"/>
      <c r="O130" s="87"/>
      <c r="P130" s="88"/>
    </row>
    <row r="131" spans="1:16">
      <c r="A131" s="85"/>
      <c r="B131" s="86"/>
      <c r="C131" s="86"/>
      <c r="D131" s="87"/>
      <c r="E131" s="87"/>
      <c r="F131" s="87"/>
      <c r="G131" s="87"/>
      <c r="H131" s="87"/>
      <c r="I131" s="87"/>
      <c r="J131" s="87"/>
      <c r="K131" s="87"/>
      <c r="L131" s="87"/>
      <c r="M131" s="87"/>
      <c r="N131" s="87"/>
      <c r="O131" s="87"/>
      <c r="P131" s="88"/>
    </row>
    <row r="132" spans="1:16">
      <c r="A132" s="85"/>
      <c r="B132" s="86"/>
      <c r="C132" s="86"/>
      <c r="D132" s="87"/>
      <c r="E132" s="87"/>
      <c r="F132" s="87"/>
      <c r="G132" s="87"/>
      <c r="H132" s="87"/>
      <c r="I132" s="87"/>
      <c r="J132" s="87"/>
      <c r="K132" s="87"/>
      <c r="L132" s="87"/>
      <c r="M132" s="87"/>
      <c r="N132" s="87"/>
      <c r="O132" s="87"/>
      <c r="P132" s="88"/>
    </row>
    <row r="133" spans="1:16">
      <c r="A133" s="85"/>
      <c r="B133" s="86"/>
      <c r="C133" s="86"/>
      <c r="D133" s="87"/>
      <c r="E133" s="87"/>
      <c r="F133" s="87"/>
      <c r="G133" s="87"/>
      <c r="H133" s="87"/>
      <c r="I133" s="87"/>
      <c r="J133" s="87"/>
      <c r="K133" s="87"/>
      <c r="L133" s="87"/>
      <c r="M133" s="87"/>
      <c r="N133" s="87"/>
      <c r="O133" s="87"/>
      <c r="P133" s="88"/>
    </row>
    <row r="134" spans="1:16">
      <c r="A134" s="85"/>
      <c r="B134" s="86"/>
      <c r="C134" s="86"/>
      <c r="D134" s="87"/>
      <c r="E134" s="87"/>
      <c r="F134" s="87"/>
      <c r="G134" s="87"/>
      <c r="H134" s="87"/>
      <c r="I134" s="87"/>
      <c r="J134" s="87"/>
      <c r="K134" s="87"/>
      <c r="L134" s="87"/>
      <c r="M134" s="87"/>
      <c r="N134" s="87"/>
      <c r="O134" s="87"/>
      <c r="P134" s="88"/>
    </row>
    <row r="135" spans="1:16">
      <c r="A135" s="85"/>
      <c r="B135" s="86"/>
      <c r="C135" s="86"/>
      <c r="D135" s="87"/>
      <c r="E135" s="87"/>
      <c r="F135" s="87"/>
      <c r="G135" s="87"/>
      <c r="H135" s="87"/>
      <c r="I135" s="87"/>
      <c r="J135" s="87"/>
      <c r="K135" s="87"/>
      <c r="L135" s="87"/>
      <c r="M135" s="87"/>
      <c r="N135" s="87"/>
      <c r="O135" s="87"/>
      <c r="P135" s="88"/>
    </row>
    <row r="136" spans="1:16">
      <c r="A136" s="85"/>
      <c r="B136" s="86"/>
      <c r="C136" s="86"/>
      <c r="D136" s="87"/>
      <c r="E136" s="87"/>
      <c r="F136" s="87"/>
      <c r="G136" s="87"/>
      <c r="H136" s="87"/>
      <c r="I136" s="87"/>
      <c r="J136" s="87"/>
      <c r="K136" s="87"/>
      <c r="L136" s="87"/>
      <c r="M136" s="87"/>
      <c r="N136" s="87"/>
      <c r="O136" s="87"/>
      <c r="P136" s="88"/>
    </row>
    <row r="137" spans="1:16">
      <c r="A137" s="85"/>
      <c r="B137" s="86"/>
      <c r="C137" s="86"/>
      <c r="D137" s="87"/>
      <c r="E137" s="87"/>
      <c r="F137" s="87"/>
      <c r="G137" s="87"/>
      <c r="H137" s="87"/>
      <c r="I137" s="87"/>
      <c r="J137" s="87"/>
      <c r="K137" s="87"/>
      <c r="L137" s="87"/>
      <c r="M137" s="87"/>
      <c r="N137" s="87"/>
      <c r="O137" s="87"/>
      <c r="P137" s="88"/>
    </row>
    <row r="138" spans="1:16">
      <c r="A138" s="85"/>
      <c r="B138" s="86"/>
      <c r="C138" s="86"/>
      <c r="D138" s="87"/>
      <c r="E138" s="87"/>
      <c r="F138" s="87"/>
      <c r="G138" s="87"/>
      <c r="H138" s="87"/>
      <c r="I138" s="87"/>
      <c r="J138" s="87"/>
      <c r="K138" s="87"/>
      <c r="L138" s="87"/>
      <c r="M138" s="87"/>
      <c r="N138" s="87"/>
      <c r="O138" s="87"/>
      <c r="P138" s="88"/>
    </row>
    <row r="139" spans="1:16">
      <c r="A139" s="85"/>
      <c r="B139" s="86"/>
      <c r="C139" s="86"/>
      <c r="D139" s="87"/>
      <c r="E139" s="87"/>
      <c r="F139" s="87"/>
      <c r="G139" s="87"/>
      <c r="H139" s="87"/>
      <c r="I139" s="87"/>
      <c r="J139" s="87"/>
      <c r="K139" s="87"/>
      <c r="L139" s="87"/>
      <c r="M139" s="87"/>
      <c r="N139" s="87"/>
      <c r="O139" s="87"/>
      <c r="P139" s="88"/>
    </row>
    <row r="140" spans="1:16">
      <c r="A140" s="85"/>
      <c r="B140" s="86"/>
      <c r="C140" s="86"/>
      <c r="D140" s="87"/>
      <c r="E140" s="87"/>
      <c r="F140" s="87"/>
      <c r="G140" s="87"/>
      <c r="H140" s="87"/>
      <c r="I140" s="87"/>
      <c r="J140" s="87"/>
      <c r="K140" s="87"/>
      <c r="L140" s="87"/>
      <c r="M140" s="87"/>
      <c r="N140" s="87"/>
      <c r="O140" s="87"/>
      <c r="P140" s="88"/>
    </row>
    <row r="141" spans="1:16">
      <c r="A141" s="85"/>
      <c r="B141" s="86"/>
      <c r="C141" s="86"/>
      <c r="D141" s="87"/>
      <c r="E141" s="87"/>
      <c r="F141" s="87"/>
      <c r="G141" s="87"/>
      <c r="H141" s="87"/>
      <c r="I141" s="87"/>
      <c r="J141" s="87"/>
      <c r="K141" s="87"/>
      <c r="L141" s="87"/>
      <c r="M141" s="87"/>
      <c r="N141" s="87"/>
      <c r="O141" s="87"/>
      <c r="P141" s="88"/>
    </row>
    <row r="142" spans="1:16">
      <c r="A142" s="85"/>
      <c r="B142" s="86"/>
      <c r="C142" s="86"/>
      <c r="D142" s="87"/>
      <c r="E142" s="87"/>
      <c r="F142" s="87"/>
      <c r="G142" s="87"/>
      <c r="H142" s="87"/>
      <c r="I142" s="87"/>
      <c r="J142" s="87"/>
      <c r="K142" s="87"/>
      <c r="L142" s="87"/>
      <c r="M142" s="87"/>
      <c r="N142" s="87"/>
      <c r="O142" s="87"/>
      <c r="P142" s="88"/>
    </row>
    <row r="143" spans="1:16">
      <c r="A143" s="85"/>
      <c r="B143" s="86"/>
      <c r="C143" s="86"/>
      <c r="D143" s="87"/>
      <c r="E143" s="87"/>
      <c r="F143" s="87"/>
      <c r="G143" s="87"/>
      <c r="H143" s="87"/>
      <c r="I143" s="87"/>
      <c r="J143" s="87"/>
      <c r="K143" s="87"/>
      <c r="L143" s="87"/>
      <c r="M143" s="87"/>
      <c r="N143" s="87"/>
      <c r="O143" s="87"/>
      <c r="P143" s="88"/>
    </row>
    <row r="144" spans="1:16">
      <c r="A144" s="85"/>
      <c r="B144" s="86"/>
      <c r="C144" s="86"/>
      <c r="D144" s="87"/>
      <c r="E144" s="87"/>
      <c r="F144" s="87"/>
      <c r="G144" s="87"/>
      <c r="H144" s="87"/>
      <c r="I144" s="87"/>
      <c r="J144" s="87"/>
      <c r="K144" s="87"/>
      <c r="L144" s="87"/>
      <c r="M144" s="87"/>
      <c r="N144" s="87"/>
      <c r="O144" s="87"/>
      <c r="P144" s="88"/>
    </row>
    <row r="145" spans="1:16">
      <c r="A145" s="85"/>
      <c r="B145" s="86"/>
      <c r="C145" s="86"/>
      <c r="D145" s="87"/>
      <c r="E145" s="87"/>
      <c r="F145" s="87"/>
      <c r="G145" s="87"/>
      <c r="H145" s="87"/>
      <c r="I145" s="87"/>
      <c r="J145" s="87"/>
      <c r="K145" s="87"/>
      <c r="L145" s="87"/>
      <c r="M145" s="87"/>
      <c r="N145" s="87"/>
      <c r="O145" s="87"/>
      <c r="P145" s="88"/>
    </row>
    <row r="146" spans="1:16">
      <c r="A146" s="85"/>
      <c r="B146" s="86"/>
      <c r="C146" s="86"/>
      <c r="D146" s="87"/>
      <c r="E146" s="87"/>
      <c r="F146" s="87"/>
      <c r="G146" s="87"/>
      <c r="H146" s="87"/>
      <c r="I146" s="87"/>
      <c r="J146" s="87"/>
      <c r="K146" s="87"/>
      <c r="L146" s="87"/>
      <c r="M146" s="87"/>
      <c r="N146" s="87"/>
      <c r="O146" s="87"/>
      <c r="P146" s="88"/>
    </row>
    <row r="147" spans="1:16">
      <c r="A147" s="85"/>
      <c r="B147" s="86"/>
      <c r="C147" s="86"/>
      <c r="D147" s="87"/>
      <c r="E147" s="87"/>
      <c r="F147" s="87"/>
      <c r="G147" s="87"/>
      <c r="H147" s="87"/>
      <c r="I147" s="87"/>
      <c r="J147" s="87"/>
      <c r="K147" s="87"/>
      <c r="L147" s="87"/>
      <c r="M147" s="87"/>
      <c r="N147" s="87"/>
      <c r="O147" s="87"/>
      <c r="P147" s="88"/>
    </row>
    <row r="148" spans="1:16">
      <c r="A148" s="85"/>
      <c r="B148" s="86"/>
      <c r="C148" s="86"/>
      <c r="D148" s="87"/>
      <c r="E148" s="87"/>
      <c r="F148" s="87"/>
      <c r="G148" s="87"/>
      <c r="H148" s="87"/>
      <c r="I148" s="87"/>
      <c r="J148" s="87"/>
      <c r="K148" s="87"/>
      <c r="L148" s="87"/>
      <c r="M148" s="87"/>
      <c r="N148" s="87"/>
      <c r="O148" s="87"/>
      <c r="P148" s="88"/>
    </row>
    <row r="149" spans="1:16">
      <c r="A149" s="85"/>
      <c r="B149" s="86"/>
      <c r="C149" s="86"/>
      <c r="D149" s="87"/>
      <c r="E149" s="87"/>
      <c r="F149" s="87"/>
      <c r="G149" s="87"/>
      <c r="H149" s="87"/>
      <c r="I149" s="87"/>
      <c r="J149" s="87"/>
      <c r="K149" s="87"/>
      <c r="L149" s="87"/>
      <c r="M149" s="87"/>
      <c r="N149" s="87"/>
      <c r="O149" s="87"/>
      <c r="P149" s="88"/>
    </row>
    <row r="150" spans="1:16">
      <c r="A150" s="85"/>
      <c r="B150" s="86"/>
      <c r="C150" s="86"/>
      <c r="D150" s="87"/>
      <c r="E150" s="87"/>
      <c r="F150" s="87"/>
      <c r="G150" s="87"/>
      <c r="H150" s="87"/>
      <c r="I150" s="87"/>
      <c r="J150" s="87"/>
      <c r="K150" s="87"/>
      <c r="L150" s="87"/>
      <c r="M150" s="87"/>
      <c r="N150" s="87"/>
      <c r="O150" s="87"/>
      <c r="P150" s="88"/>
    </row>
    <row r="151" spans="1:16">
      <c r="A151" s="85"/>
      <c r="B151" s="86"/>
      <c r="C151" s="86"/>
      <c r="D151" s="87"/>
      <c r="E151" s="87"/>
      <c r="F151" s="87"/>
      <c r="G151" s="87"/>
      <c r="H151" s="87"/>
      <c r="I151" s="87"/>
      <c r="J151" s="87"/>
      <c r="K151" s="87"/>
      <c r="L151" s="87"/>
      <c r="M151" s="87"/>
      <c r="N151" s="87"/>
      <c r="O151" s="87"/>
      <c r="P151" s="88"/>
    </row>
    <row r="152" spans="1:16">
      <c r="A152" s="85"/>
      <c r="B152" s="86"/>
      <c r="C152" s="86"/>
      <c r="D152" s="87"/>
      <c r="E152" s="87"/>
      <c r="F152" s="87"/>
      <c r="G152" s="87"/>
      <c r="H152" s="87"/>
      <c r="I152" s="87"/>
      <c r="J152" s="87"/>
      <c r="K152" s="87"/>
      <c r="L152" s="87"/>
      <c r="M152" s="87"/>
      <c r="N152" s="87"/>
      <c r="O152" s="87"/>
      <c r="P152" s="88"/>
    </row>
    <row r="153" spans="1:16">
      <c r="A153" s="85"/>
      <c r="B153" s="86"/>
      <c r="C153" s="86"/>
      <c r="D153" s="87"/>
      <c r="E153" s="87"/>
      <c r="F153" s="87"/>
      <c r="G153" s="87"/>
      <c r="H153" s="87"/>
      <c r="I153" s="87"/>
      <c r="J153" s="87"/>
      <c r="K153" s="87"/>
      <c r="L153" s="87"/>
      <c r="M153" s="87"/>
      <c r="N153" s="87"/>
      <c r="O153" s="87"/>
      <c r="P153" s="88"/>
    </row>
    <row r="154" spans="1:16">
      <c r="A154" s="85"/>
      <c r="B154" s="86"/>
      <c r="C154" s="86"/>
      <c r="D154" s="87"/>
      <c r="E154" s="87"/>
      <c r="F154" s="87"/>
      <c r="G154" s="87"/>
      <c r="H154" s="87"/>
      <c r="I154" s="87"/>
      <c r="J154" s="87"/>
      <c r="K154" s="87"/>
      <c r="L154" s="87"/>
      <c r="M154" s="87"/>
      <c r="N154" s="87"/>
      <c r="O154" s="87"/>
      <c r="P154" s="88"/>
    </row>
    <row r="155" spans="1:16">
      <c r="A155" s="85"/>
      <c r="B155" s="86"/>
      <c r="C155" s="86"/>
      <c r="D155" s="87"/>
      <c r="E155" s="87"/>
      <c r="F155" s="87"/>
      <c r="G155" s="87"/>
      <c r="H155" s="87"/>
      <c r="I155" s="87"/>
      <c r="J155" s="87"/>
      <c r="K155" s="87"/>
      <c r="L155" s="87"/>
      <c r="M155" s="87"/>
      <c r="N155" s="87"/>
      <c r="O155" s="87"/>
      <c r="P155" s="88"/>
    </row>
    <row r="156" spans="1:16">
      <c r="A156" s="85"/>
      <c r="B156" s="86"/>
      <c r="C156" s="86"/>
      <c r="D156" s="87"/>
      <c r="E156" s="87"/>
      <c r="F156" s="87"/>
      <c r="G156" s="87"/>
      <c r="H156" s="87"/>
      <c r="I156" s="87"/>
      <c r="J156" s="87"/>
      <c r="K156" s="87"/>
      <c r="L156" s="87"/>
      <c r="M156" s="87"/>
      <c r="N156" s="87"/>
      <c r="O156" s="87"/>
      <c r="P156" s="88"/>
    </row>
    <row r="157" spans="1:16">
      <c r="A157" s="85"/>
      <c r="B157" s="86"/>
      <c r="C157" s="86"/>
      <c r="D157" s="87"/>
      <c r="E157" s="87"/>
      <c r="F157" s="87"/>
      <c r="G157" s="87"/>
      <c r="H157" s="87"/>
      <c r="I157" s="87"/>
      <c r="J157" s="87"/>
      <c r="K157" s="87"/>
      <c r="L157" s="87"/>
      <c r="M157" s="87"/>
      <c r="N157" s="87"/>
      <c r="O157" s="87"/>
      <c r="P157" s="88"/>
    </row>
    <row r="158" spans="1:16">
      <c r="A158" s="85"/>
      <c r="B158" s="86"/>
      <c r="C158" s="86"/>
      <c r="D158" s="87"/>
      <c r="E158" s="87"/>
      <c r="F158" s="87"/>
      <c r="G158" s="87"/>
      <c r="H158" s="87"/>
      <c r="I158" s="87"/>
      <c r="J158" s="87"/>
      <c r="K158" s="87"/>
      <c r="L158" s="87"/>
      <c r="M158" s="87"/>
      <c r="N158" s="87"/>
      <c r="O158" s="87"/>
      <c r="P158" s="88"/>
    </row>
    <row r="159" spans="1:16">
      <c r="A159" s="85"/>
      <c r="B159" s="86"/>
      <c r="C159" s="86"/>
      <c r="D159" s="87"/>
      <c r="E159" s="87"/>
      <c r="F159" s="87"/>
      <c r="G159" s="87"/>
      <c r="H159" s="87"/>
      <c r="I159" s="87"/>
      <c r="J159" s="87"/>
      <c r="K159" s="87"/>
      <c r="L159" s="87"/>
      <c r="M159" s="87"/>
      <c r="N159" s="87"/>
      <c r="O159" s="87"/>
      <c r="P159" s="88"/>
    </row>
    <row r="160" spans="1:16">
      <c r="A160" s="85"/>
      <c r="B160" s="86"/>
      <c r="C160" s="86"/>
      <c r="D160" s="87"/>
      <c r="E160" s="87"/>
      <c r="F160" s="87"/>
      <c r="G160" s="87"/>
      <c r="H160" s="87"/>
      <c r="I160" s="87"/>
      <c r="J160" s="87"/>
      <c r="K160" s="87"/>
      <c r="L160" s="87"/>
      <c r="M160" s="87"/>
      <c r="N160" s="87"/>
      <c r="O160" s="87"/>
      <c r="P160" s="88"/>
    </row>
    <row r="161" spans="1:16">
      <c r="A161" s="85"/>
      <c r="B161" s="86"/>
      <c r="C161" s="86"/>
      <c r="D161" s="87"/>
      <c r="E161" s="87"/>
      <c r="F161" s="87"/>
      <c r="G161" s="87"/>
      <c r="H161" s="87"/>
      <c r="I161" s="87"/>
      <c r="J161" s="87"/>
      <c r="K161" s="87"/>
      <c r="L161" s="87"/>
      <c r="M161" s="87"/>
      <c r="N161" s="87"/>
      <c r="O161" s="87"/>
      <c r="P161" s="88"/>
    </row>
    <row r="162" spans="1:16">
      <c r="A162" s="85"/>
      <c r="B162" s="86"/>
      <c r="C162" s="86"/>
      <c r="D162" s="87"/>
      <c r="E162" s="87"/>
      <c r="F162" s="87"/>
      <c r="G162" s="87"/>
      <c r="H162" s="87"/>
      <c r="I162" s="87"/>
      <c r="J162" s="87"/>
      <c r="K162" s="87"/>
      <c r="L162" s="87"/>
      <c r="M162" s="87"/>
      <c r="N162" s="87"/>
      <c r="O162" s="87"/>
      <c r="P162" s="88"/>
    </row>
    <row r="163" spans="1:16">
      <c r="A163" s="85"/>
      <c r="B163" s="86"/>
      <c r="C163" s="86"/>
      <c r="D163" s="87"/>
      <c r="E163" s="87"/>
      <c r="F163" s="87"/>
      <c r="G163" s="87"/>
      <c r="H163" s="87"/>
      <c r="I163" s="87"/>
      <c r="J163" s="87"/>
      <c r="K163" s="87"/>
      <c r="L163" s="87"/>
      <c r="M163" s="87"/>
      <c r="N163" s="87"/>
      <c r="O163" s="87"/>
      <c r="P163" s="88"/>
    </row>
    <row r="164" spans="1:16">
      <c r="A164" s="85"/>
      <c r="B164" s="86"/>
      <c r="C164" s="86"/>
      <c r="D164" s="87"/>
      <c r="E164" s="87"/>
      <c r="F164" s="87"/>
      <c r="G164" s="87"/>
      <c r="H164" s="87"/>
      <c r="I164" s="87"/>
      <c r="J164" s="87"/>
      <c r="K164" s="87"/>
      <c r="L164" s="87"/>
      <c r="M164" s="87"/>
      <c r="N164" s="87"/>
      <c r="O164" s="87"/>
      <c r="P164" s="88"/>
    </row>
    <row r="165" spans="1:16">
      <c r="A165" s="85"/>
      <c r="B165" s="86"/>
      <c r="C165" s="86"/>
      <c r="D165" s="87"/>
      <c r="E165" s="87"/>
      <c r="F165" s="87"/>
      <c r="G165" s="87"/>
      <c r="H165" s="87"/>
      <c r="I165" s="87"/>
      <c r="J165" s="87"/>
      <c r="K165" s="87"/>
      <c r="L165" s="87"/>
      <c r="M165" s="87"/>
      <c r="N165" s="87"/>
      <c r="O165" s="87"/>
      <c r="P165" s="88"/>
    </row>
    <row r="166" spans="1:16">
      <c r="A166" s="85"/>
      <c r="B166" s="86"/>
      <c r="C166" s="86"/>
      <c r="D166" s="87"/>
      <c r="E166" s="87"/>
      <c r="F166" s="87"/>
      <c r="G166" s="87"/>
      <c r="H166" s="87"/>
      <c r="I166" s="87"/>
      <c r="J166" s="87"/>
      <c r="K166" s="87"/>
      <c r="L166" s="87"/>
      <c r="M166" s="87"/>
      <c r="N166" s="87"/>
      <c r="O166" s="87"/>
      <c r="P166" s="88"/>
    </row>
    <row r="167" spans="1:16">
      <c r="A167" s="85"/>
      <c r="B167" s="86"/>
      <c r="C167" s="86"/>
      <c r="D167" s="87"/>
      <c r="E167" s="87"/>
      <c r="F167" s="87"/>
      <c r="G167" s="87"/>
      <c r="H167" s="87"/>
      <c r="I167" s="87"/>
      <c r="J167" s="87"/>
      <c r="K167" s="87"/>
      <c r="L167" s="87"/>
      <c r="M167" s="87"/>
      <c r="N167" s="87"/>
      <c r="O167" s="87"/>
      <c r="P167" s="88"/>
    </row>
    <row r="168" spans="1:16">
      <c r="A168" s="85"/>
      <c r="B168" s="86"/>
      <c r="C168" s="86"/>
      <c r="D168" s="87"/>
      <c r="E168" s="87"/>
      <c r="F168" s="87"/>
      <c r="G168" s="87"/>
      <c r="H168" s="87"/>
      <c r="I168" s="87"/>
      <c r="J168" s="87"/>
      <c r="K168" s="87"/>
      <c r="L168" s="87"/>
      <c r="M168" s="87"/>
      <c r="N168" s="87"/>
      <c r="O168" s="87"/>
      <c r="P168" s="88"/>
    </row>
    <row r="169" spans="1:16">
      <c r="A169" s="85"/>
      <c r="B169" s="86"/>
      <c r="C169" s="86"/>
      <c r="D169" s="87"/>
      <c r="E169" s="87"/>
      <c r="F169" s="87"/>
      <c r="G169" s="87"/>
      <c r="H169" s="87"/>
      <c r="I169" s="87"/>
      <c r="J169" s="87"/>
      <c r="K169" s="87"/>
      <c r="L169" s="87"/>
      <c r="M169" s="87"/>
      <c r="N169" s="87"/>
      <c r="O169" s="87"/>
      <c r="P169" s="88"/>
    </row>
    <row r="170" spans="1:16">
      <c r="A170" s="85"/>
      <c r="B170" s="86"/>
      <c r="C170" s="86"/>
      <c r="D170" s="87"/>
      <c r="E170" s="87"/>
      <c r="F170" s="87"/>
      <c r="G170" s="87"/>
      <c r="H170" s="87"/>
      <c r="I170" s="87"/>
      <c r="J170" s="87"/>
      <c r="K170" s="87"/>
      <c r="L170" s="87"/>
      <c r="M170" s="87"/>
      <c r="N170" s="87"/>
      <c r="O170" s="87"/>
      <c r="P170" s="88"/>
    </row>
    <row r="171" spans="1:16">
      <c r="A171" s="85"/>
      <c r="B171" s="86"/>
      <c r="C171" s="86"/>
      <c r="D171" s="87"/>
      <c r="E171" s="87"/>
      <c r="F171" s="87"/>
      <c r="G171" s="87"/>
      <c r="H171" s="87"/>
      <c r="I171" s="87"/>
      <c r="J171" s="87"/>
      <c r="K171" s="87"/>
      <c r="L171" s="87"/>
      <c r="M171" s="87"/>
      <c r="N171" s="87"/>
      <c r="O171" s="87"/>
      <c r="P171" s="88"/>
    </row>
    <row r="172" spans="1:16">
      <c r="A172" s="85"/>
      <c r="B172" s="86"/>
      <c r="C172" s="86"/>
      <c r="D172" s="87"/>
      <c r="E172" s="87"/>
      <c r="F172" s="87"/>
      <c r="G172" s="87"/>
      <c r="H172" s="87"/>
      <c r="I172" s="87"/>
      <c r="J172" s="87"/>
      <c r="K172" s="87"/>
      <c r="L172" s="87"/>
      <c r="M172" s="87"/>
      <c r="N172" s="87"/>
      <c r="O172" s="87"/>
      <c r="P172" s="88"/>
    </row>
    <row r="173" spans="1:16">
      <c r="A173" s="85"/>
      <c r="B173" s="86"/>
      <c r="C173" s="86"/>
      <c r="D173" s="87"/>
      <c r="E173" s="87"/>
      <c r="F173" s="87"/>
      <c r="G173" s="87"/>
      <c r="H173" s="87"/>
      <c r="I173" s="87"/>
      <c r="J173" s="87"/>
      <c r="K173" s="87"/>
      <c r="L173" s="87"/>
      <c r="M173" s="87"/>
      <c r="N173" s="87"/>
      <c r="O173" s="87"/>
      <c r="P173" s="88"/>
    </row>
    <row r="174" spans="1:16">
      <c r="A174" s="85"/>
      <c r="B174" s="86"/>
      <c r="C174" s="86"/>
      <c r="D174" s="87"/>
      <c r="E174" s="87"/>
      <c r="F174" s="87"/>
      <c r="G174" s="87"/>
      <c r="H174" s="87"/>
      <c r="I174" s="87"/>
      <c r="J174" s="87"/>
      <c r="K174" s="87"/>
      <c r="L174" s="87"/>
      <c r="M174" s="87"/>
      <c r="N174" s="87"/>
      <c r="O174" s="87"/>
      <c r="P174" s="88"/>
    </row>
    <row r="175" spans="1:16">
      <c r="A175" s="85"/>
      <c r="B175" s="86"/>
      <c r="C175" s="86"/>
      <c r="D175" s="87"/>
      <c r="E175" s="87"/>
      <c r="F175" s="87"/>
      <c r="G175" s="87"/>
      <c r="H175" s="87"/>
      <c r="I175" s="87"/>
      <c r="J175" s="87"/>
      <c r="K175" s="87"/>
      <c r="L175" s="87"/>
      <c r="M175" s="87"/>
      <c r="N175" s="87"/>
      <c r="O175" s="87"/>
      <c r="P175" s="88"/>
    </row>
    <row r="176" spans="1:16">
      <c r="A176" s="85"/>
      <c r="B176" s="86"/>
      <c r="C176" s="86"/>
      <c r="D176" s="87"/>
      <c r="E176" s="87"/>
      <c r="F176" s="87"/>
      <c r="G176" s="87"/>
      <c r="H176" s="87"/>
      <c r="I176" s="87"/>
      <c r="J176" s="87"/>
      <c r="K176" s="87"/>
      <c r="L176" s="87"/>
      <c r="M176" s="87"/>
      <c r="N176" s="87"/>
      <c r="O176" s="87"/>
      <c r="P176" s="88"/>
    </row>
    <row r="177" spans="1:16">
      <c r="A177" s="85"/>
      <c r="B177" s="86"/>
      <c r="C177" s="86"/>
      <c r="D177" s="87"/>
      <c r="E177" s="87"/>
      <c r="F177" s="87"/>
      <c r="G177" s="87"/>
      <c r="H177" s="87"/>
      <c r="I177" s="87"/>
      <c r="J177" s="87"/>
      <c r="K177" s="87"/>
      <c r="L177" s="87"/>
      <c r="M177" s="87"/>
      <c r="N177" s="87"/>
      <c r="O177" s="87"/>
      <c r="P177" s="88"/>
    </row>
    <row r="178" spans="1:16">
      <c r="A178" s="85"/>
      <c r="B178" s="86"/>
      <c r="C178" s="86"/>
      <c r="D178" s="87"/>
      <c r="E178" s="87"/>
      <c r="F178" s="87"/>
      <c r="G178" s="87"/>
      <c r="H178" s="87"/>
      <c r="I178" s="87"/>
      <c r="J178" s="87"/>
      <c r="K178" s="87"/>
      <c r="L178" s="87"/>
      <c r="M178" s="87"/>
      <c r="N178" s="87"/>
      <c r="O178" s="87"/>
      <c r="P178" s="88"/>
    </row>
    <row r="179" spans="1:16">
      <c r="A179" s="85"/>
      <c r="B179" s="86"/>
      <c r="C179" s="86"/>
      <c r="D179" s="87"/>
      <c r="E179" s="87"/>
      <c r="F179" s="87"/>
      <c r="G179" s="87"/>
      <c r="H179" s="87"/>
      <c r="I179" s="87"/>
      <c r="J179" s="87"/>
      <c r="K179" s="87"/>
      <c r="L179" s="87"/>
      <c r="M179" s="87"/>
      <c r="N179" s="87"/>
      <c r="O179" s="87"/>
      <c r="P179" s="88"/>
    </row>
    <row r="180" spans="1:16">
      <c r="A180" s="85"/>
      <c r="B180" s="86"/>
      <c r="C180" s="86"/>
      <c r="D180" s="87"/>
      <c r="E180" s="87"/>
      <c r="F180" s="87"/>
      <c r="G180" s="87"/>
      <c r="H180" s="87"/>
      <c r="I180" s="87"/>
      <c r="J180" s="87"/>
      <c r="K180" s="87"/>
      <c r="L180" s="87"/>
      <c r="M180" s="87"/>
      <c r="N180" s="87"/>
      <c r="O180" s="87"/>
      <c r="P180" s="88"/>
    </row>
    <row r="181" spans="1:16">
      <c r="A181" s="85"/>
      <c r="B181" s="86"/>
      <c r="C181" s="86"/>
      <c r="D181" s="87"/>
      <c r="E181" s="87"/>
      <c r="F181" s="87"/>
      <c r="G181" s="87"/>
      <c r="H181" s="87"/>
      <c r="I181" s="87"/>
      <c r="J181" s="87"/>
      <c r="K181" s="87"/>
      <c r="L181" s="87"/>
      <c r="M181" s="87"/>
      <c r="N181" s="87"/>
      <c r="O181" s="87"/>
      <c r="P181" s="88"/>
    </row>
    <row r="182" spans="1:16">
      <c r="A182" s="85"/>
      <c r="B182" s="86"/>
      <c r="C182" s="86"/>
      <c r="D182" s="87"/>
      <c r="E182" s="87"/>
      <c r="F182" s="87"/>
      <c r="G182" s="87"/>
      <c r="H182" s="87"/>
      <c r="I182" s="87"/>
      <c r="J182" s="87"/>
      <c r="K182" s="87"/>
      <c r="L182" s="87"/>
      <c r="M182" s="87"/>
      <c r="N182" s="87"/>
      <c r="O182" s="87"/>
      <c r="P182" s="88"/>
    </row>
    <row r="183" spans="1:16">
      <c r="A183" s="85"/>
      <c r="B183" s="86"/>
      <c r="C183" s="86"/>
      <c r="D183" s="87"/>
      <c r="E183" s="87"/>
      <c r="F183" s="87"/>
      <c r="G183" s="87"/>
      <c r="H183" s="87"/>
      <c r="I183" s="87"/>
      <c r="J183" s="87"/>
      <c r="K183" s="87"/>
      <c r="L183" s="87"/>
      <c r="M183" s="87"/>
      <c r="N183" s="87"/>
      <c r="O183" s="87"/>
      <c r="P183" s="88"/>
    </row>
    <row r="184" spans="1:16">
      <c r="A184" s="85"/>
      <c r="B184" s="86"/>
      <c r="C184" s="86"/>
      <c r="D184" s="87"/>
      <c r="E184" s="87"/>
      <c r="F184" s="87"/>
      <c r="G184" s="87"/>
      <c r="H184" s="87"/>
      <c r="I184" s="87"/>
      <c r="J184" s="87"/>
      <c r="K184" s="87"/>
      <c r="L184" s="87"/>
      <c r="M184" s="87"/>
      <c r="N184" s="87"/>
      <c r="O184" s="87"/>
      <c r="P184" s="88"/>
    </row>
    <row r="185" spans="1:16">
      <c r="A185" s="85"/>
      <c r="B185" s="86"/>
      <c r="C185" s="86"/>
      <c r="D185" s="87"/>
      <c r="E185" s="87"/>
      <c r="F185" s="87"/>
      <c r="G185" s="87"/>
      <c r="H185" s="87"/>
      <c r="I185" s="87"/>
      <c r="J185" s="87"/>
      <c r="K185" s="87"/>
      <c r="L185" s="87"/>
      <c r="M185" s="87"/>
      <c r="N185" s="87"/>
      <c r="O185" s="87"/>
      <c r="P185" s="88"/>
    </row>
    <row r="186" spans="1:16">
      <c r="A186" s="85"/>
      <c r="B186" s="86"/>
      <c r="C186" s="86"/>
      <c r="D186" s="87"/>
      <c r="E186" s="87"/>
      <c r="F186" s="87"/>
      <c r="G186" s="87"/>
      <c r="H186" s="87"/>
      <c r="I186" s="87"/>
      <c r="J186" s="87"/>
      <c r="K186" s="87"/>
      <c r="L186" s="87"/>
      <c r="M186" s="87"/>
      <c r="N186" s="87"/>
      <c r="O186" s="87"/>
      <c r="P186" s="88"/>
    </row>
    <row r="187" spans="1:16">
      <c r="A187" s="85"/>
      <c r="B187" s="86"/>
      <c r="C187" s="86"/>
      <c r="D187" s="87"/>
      <c r="E187" s="87"/>
      <c r="F187" s="87"/>
      <c r="G187" s="87"/>
      <c r="H187" s="87"/>
      <c r="I187" s="87"/>
      <c r="J187" s="87"/>
      <c r="K187" s="87"/>
      <c r="L187" s="87"/>
      <c r="M187" s="87"/>
      <c r="N187" s="87"/>
      <c r="O187" s="87"/>
      <c r="P187" s="88"/>
    </row>
    <row r="188" spans="1:16">
      <c r="A188" s="85"/>
      <c r="B188" s="86"/>
      <c r="C188" s="86"/>
      <c r="D188" s="87"/>
      <c r="E188" s="87"/>
      <c r="F188" s="87"/>
      <c r="G188" s="87"/>
      <c r="H188" s="87"/>
      <c r="I188" s="87"/>
      <c r="J188" s="87"/>
      <c r="K188" s="87"/>
      <c r="L188" s="87"/>
      <c r="M188" s="87"/>
      <c r="N188" s="87"/>
      <c r="O188" s="87"/>
      <c r="P188" s="88"/>
    </row>
    <row r="189" spans="1:16">
      <c r="A189" s="85"/>
      <c r="B189" s="86"/>
      <c r="C189" s="86"/>
      <c r="D189" s="87"/>
      <c r="E189" s="87"/>
      <c r="F189" s="87"/>
      <c r="G189" s="87"/>
      <c r="H189" s="87"/>
      <c r="I189" s="87"/>
      <c r="J189" s="87"/>
      <c r="K189" s="87"/>
      <c r="L189" s="87"/>
      <c r="M189" s="87"/>
      <c r="N189" s="87"/>
      <c r="O189" s="87"/>
      <c r="P189" s="88"/>
    </row>
    <row r="190" spans="1:16">
      <c r="A190" s="85"/>
      <c r="B190" s="86"/>
      <c r="C190" s="86"/>
      <c r="D190" s="87"/>
      <c r="E190" s="87"/>
      <c r="F190" s="87"/>
      <c r="G190" s="87"/>
      <c r="H190" s="87"/>
      <c r="I190" s="87"/>
      <c r="J190" s="87"/>
      <c r="K190" s="87"/>
      <c r="L190" s="87"/>
      <c r="M190" s="87"/>
      <c r="N190" s="87"/>
      <c r="O190" s="87"/>
      <c r="P190" s="88"/>
    </row>
    <row r="191" spans="1:16">
      <c r="A191" s="85"/>
      <c r="B191" s="86"/>
      <c r="C191" s="86"/>
      <c r="D191" s="87"/>
      <c r="E191" s="87"/>
      <c r="F191" s="87"/>
      <c r="G191" s="87"/>
      <c r="H191" s="87"/>
      <c r="I191" s="87"/>
      <c r="J191" s="87"/>
      <c r="K191" s="87"/>
      <c r="L191" s="87"/>
      <c r="M191" s="87"/>
      <c r="N191" s="87"/>
      <c r="O191" s="87"/>
      <c r="P191" s="88"/>
    </row>
    <row r="192" spans="1:16">
      <c r="A192" s="85"/>
      <c r="B192" s="86"/>
      <c r="C192" s="86"/>
      <c r="D192" s="87"/>
      <c r="E192" s="87"/>
      <c r="F192" s="87"/>
      <c r="G192" s="87"/>
      <c r="H192" s="87"/>
      <c r="I192" s="87"/>
      <c r="J192" s="87"/>
      <c r="K192" s="87"/>
      <c r="L192" s="87"/>
      <c r="M192" s="87"/>
      <c r="N192" s="87"/>
      <c r="O192" s="87"/>
      <c r="P192" s="88"/>
    </row>
    <row r="193" spans="1:16">
      <c r="A193" s="85"/>
      <c r="B193" s="86"/>
      <c r="C193" s="86"/>
      <c r="D193" s="87"/>
      <c r="E193" s="87"/>
      <c r="F193" s="87"/>
      <c r="G193" s="87"/>
      <c r="H193" s="87"/>
      <c r="I193" s="87"/>
      <c r="J193" s="87"/>
      <c r="K193" s="87"/>
      <c r="L193" s="87"/>
      <c r="M193" s="87"/>
      <c r="N193" s="87"/>
      <c r="O193" s="87"/>
      <c r="P193" s="88"/>
    </row>
    <row r="194" spans="1:16">
      <c r="A194" s="85"/>
      <c r="B194" s="86"/>
      <c r="C194" s="86"/>
      <c r="D194" s="87"/>
      <c r="E194" s="87"/>
      <c r="F194" s="87"/>
      <c r="G194" s="87"/>
      <c r="H194" s="87"/>
      <c r="I194" s="87"/>
      <c r="J194" s="87"/>
      <c r="K194" s="87"/>
      <c r="L194" s="87"/>
      <c r="M194" s="87"/>
      <c r="N194" s="87"/>
      <c r="O194" s="87"/>
      <c r="P194" s="88"/>
    </row>
    <row r="195" spans="1:16">
      <c r="A195" s="85"/>
      <c r="B195" s="86"/>
      <c r="C195" s="86"/>
      <c r="D195" s="87"/>
      <c r="E195" s="87"/>
      <c r="F195" s="87"/>
      <c r="G195" s="87"/>
      <c r="H195" s="87"/>
      <c r="I195" s="87"/>
      <c r="J195" s="87"/>
      <c r="K195" s="87"/>
      <c r="L195" s="87"/>
      <c r="M195" s="87"/>
      <c r="N195" s="87"/>
      <c r="O195" s="87"/>
      <c r="P195" s="88"/>
    </row>
    <row r="196" spans="1:16">
      <c r="A196" s="85"/>
      <c r="B196" s="86"/>
      <c r="C196" s="86"/>
      <c r="D196" s="87"/>
      <c r="E196" s="87"/>
      <c r="F196" s="87"/>
      <c r="G196" s="87"/>
      <c r="H196" s="87"/>
      <c r="I196" s="87"/>
      <c r="J196" s="87"/>
      <c r="K196" s="87"/>
      <c r="L196" s="87"/>
      <c r="M196" s="87"/>
      <c r="N196" s="87"/>
      <c r="O196" s="87"/>
      <c r="P196" s="88"/>
    </row>
    <row r="197" spans="1:16">
      <c r="A197" s="85"/>
      <c r="B197" s="86"/>
      <c r="C197" s="86"/>
      <c r="D197" s="87"/>
      <c r="E197" s="87"/>
      <c r="F197" s="87"/>
      <c r="G197" s="87"/>
      <c r="H197" s="87"/>
      <c r="I197" s="87"/>
      <c r="J197" s="87"/>
      <c r="K197" s="87"/>
      <c r="L197" s="87"/>
      <c r="M197" s="87"/>
      <c r="N197" s="87"/>
      <c r="O197" s="87"/>
      <c r="P197" s="88"/>
    </row>
    <row r="198" spans="1:16">
      <c r="A198" s="85"/>
      <c r="B198" s="86"/>
      <c r="C198" s="86"/>
      <c r="D198" s="87"/>
      <c r="E198" s="87"/>
      <c r="F198" s="87"/>
      <c r="G198" s="87"/>
      <c r="H198" s="87"/>
      <c r="I198" s="87"/>
      <c r="J198" s="87"/>
      <c r="K198" s="87"/>
      <c r="L198" s="87"/>
      <c r="M198" s="87"/>
      <c r="N198" s="87"/>
      <c r="O198" s="87"/>
      <c r="P198" s="88"/>
    </row>
    <row r="199" spans="1:16">
      <c r="A199" s="85"/>
      <c r="B199" s="86"/>
      <c r="C199" s="86"/>
      <c r="D199" s="87"/>
      <c r="E199" s="87"/>
      <c r="F199" s="87"/>
      <c r="G199" s="87"/>
      <c r="H199" s="87"/>
      <c r="I199" s="87"/>
      <c r="J199" s="87"/>
      <c r="K199" s="87"/>
      <c r="L199" s="87"/>
      <c r="M199" s="87"/>
      <c r="N199" s="87"/>
      <c r="O199" s="87"/>
      <c r="P199" s="88"/>
    </row>
    <row r="200" spans="1:16">
      <c r="A200" s="85"/>
      <c r="B200" s="86"/>
      <c r="C200" s="86"/>
      <c r="D200" s="87"/>
      <c r="E200" s="87"/>
      <c r="F200" s="87"/>
      <c r="G200" s="87"/>
      <c r="H200" s="87"/>
      <c r="I200" s="87"/>
      <c r="J200" s="87"/>
      <c r="K200" s="87"/>
      <c r="L200" s="87"/>
      <c r="M200" s="87"/>
      <c r="N200" s="87"/>
      <c r="O200" s="87"/>
      <c r="P200" s="88"/>
    </row>
    <row r="201" spans="1:16">
      <c r="A201" s="85"/>
      <c r="B201" s="86"/>
      <c r="C201" s="86"/>
      <c r="D201" s="87"/>
      <c r="E201" s="87"/>
      <c r="F201" s="87"/>
      <c r="G201" s="87"/>
      <c r="H201" s="87"/>
      <c r="I201" s="87"/>
      <c r="J201" s="87"/>
      <c r="K201" s="87"/>
      <c r="L201" s="87"/>
      <c r="M201" s="87"/>
      <c r="N201" s="87"/>
      <c r="O201" s="87"/>
      <c r="P201" s="88"/>
    </row>
    <row r="202" spans="1:16">
      <c r="A202" s="85"/>
      <c r="B202" s="86"/>
      <c r="C202" s="86"/>
      <c r="D202" s="87"/>
      <c r="E202" s="87"/>
      <c r="F202" s="87"/>
      <c r="G202" s="87"/>
      <c r="H202" s="87"/>
      <c r="I202" s="87"/>
      <c r="J202" s="87"/>
      <c r="K202" s="87"/>
      <c r="L202" s="87"/>
      <c r="M202" s="87"/>
      <c r="N202" s="87"/>
      <c r="O202" s="87"/>
      <c r="P202" s="88"/>
    </row>
    <row r="203" spans="1:16">
      <c r="A203" s="85"/>
      <c r="B203" s="86"/>
      <c r="C203" s="86"/>
      <c r="D203" s="87"/>
      <c r="E203" s="87"/>
      <c r="F203" s="87"/>
      <c r="G203" s="87"/>
      <c r="H203" s="87"/>
      <c r="I203" s="87"/>
      <c r="J203" s="87"/>
      <c r="K203" s="87"/>
      <c r="L203" s="87"/>
      <c r="M203" s="87"/>
      <c r="N203" s="87"/>
      <c r="O203" s="87"/>
      <c r="P203" s="88"/>
    </row>
    <row r="204" spans="1:16">
      <c r="A204" s="85"/>
      <c r="B204" s="86"/>
      <c r="C204" s="86"/>
      <c r="D204" s="87"/>
      <c r="E204" s="87"/>
      <c r="F204" s="87"/>
      <c r="G204" s="87"/>
      <c r="H204" s="87"/>
      <c r="I204" s="87"/>
      <c r="J204" s="87"/>
      <c r="K204" s="87"/>
      <c r="L204" s="87"/>
      <c r="M204" s="87"/>
      <c r="N204" s="87"/>
      <c r="O204" s="87"/>
      <c r="P204" s="88"/>
    </row>
    <row r="205" spans="1:16">
      <c r="A205" s="85"/>
      <c r="B205" s="86"/>
      <c r="C205" s="86"/>
      <c r="D205" s="87"/>
      <c r="E205" s="87"/>
      <c r="F205" s="87"/>
      <c r="G205" s="87"/>
      <c r="H205" s="87"/>
      <c r="I205" s="87"/>
      <c r="J205" s="87"/>
      <c r="K205" s="87"/>
      <c r="L205" s="87"/>
      <c r="M205" s="87"/>
      <c r="N205" s="87"/>
      <c r="O205" s="87"/>
      <c r="P205" s="88"/>
    </row>
    <row r="206" spans="1:16">
      <c r="A206" s="85"/>
      <c r="B206" s="86"/>
      <c r="C206" s="86"/>
      <c r="D206" s="87"/>
      <c r="E206" s="87"/>
      <c r="F206" s="87"/>
      <c r="G206" s="87"/>
      <c r="H206" s="87"/>
      <c r="I206" s="87"/>
      <c r="J206" s="87"/>
      <c r="K206" s="87"/>
      <c r="L206" s="87"/>
      <c r="M206" s="87"/>
      <c r="N206" s="87"/>
      <c r="O206" s="87"/>
      <c r="P206" s="88"/>
    </row>
    <row r="207" spans="1:16">
      <c r="A207" s="85"/>
      <c r="B207" s="86"/>
      <c r="C207" s="86"/>
      <c r="D207" s="87"/>
      <c r="E207" s="87"/>
      <c r="F207" s="87"/>
      <c r="G207" s="87"/>
      <c r="H207" s="87"/>
      <c r="I207" s="87"/>
      <c r="J207" s="87"/>
      <c r="K207" s="87"/>
      <c r="L207" s="87"/>
      <c r="M207" s="87"/>
      <c r="N207" s="87"/>
      <c r="O207" s="87"/>
      <c r="P207" s="88"/>
    </row>
    <row r="208" spans="1:16">
      <c r="A208" s="85"/>
      <c r="B208" s="86"/>
      <c r="C208" s="86"/>
      <c r="D208" s="87"/>
      <c r="E208" s="87"/>
      <c r="F208" s="87"/>
      <c r="G208" s="87"/>
      <c r="H208" s="87"/>
      <c r="I208" s="87"/>
      <c r="J208" s="87"/>
      <c r="K208" s="87"/>
      <c r="L208" s="87"/>
      <c r="M208" s="87"/>
      <c r="N208" s="87"/>
      <c r="O208" s="87"/>
      <c r="P208" s="88"/>
    </row>
    <row r="209" spans="1:16">
      <c r="A209" s="85"/>
      <c r="B209" s="86"/>
      <c r="C209" s="86"/>
      <c r="D209" s="87"/>
      <c r="E209" s="87"/>
      <c r="F209" s="87"/>
      <c r="G209" s="87"/>
      <c r="H209" s="87"/>
      <c r="I209" s="87"/>
      <c r="J209" s="87"/>
      <c r="K209" s="87"/>
      <c r="L209" s="87"/>
      <c r="M209" s="87"/>
      <c r="N209" s="87"/>
      <c r="O209" s="87"/>
      <c r="P209" s="88"/>
    </row>
    <row r="210" spans="1:16">
      <c r="A210" s="85"/>
      <c r="B210" s="86"/>
      <c r="C210" s="86"/>
      <c r="D210" s="87"/>
      <c r="E210" s="87"/>
      <c r="F210" s="87"/>
      <c r="G210" s="87"/>
      <c r="H210" s="87"/>
      <c r="I210" s="87"/>
      <c r="J210" s="87"/>
      <c r="K210" s="87"/>
      <c r="L210" s="87"/>
      <c r="M210" s="87"/>
      <c r="N210" s="87"/>
      <c r="O210" s="87"/>
      <c r="P210" s="88"/>
    </row>
    <row r="211" spans="1:16">
      <c r="A211" s="85"/>
      <c r="B211" s="86"/>
      <c r="C211" s="86"/>
      <c r="D211" s="87"/>
      <c r="E211" s="87"/>
      <c r="F211" s="87"/>
      <c r="G211" s="87"/>
      <c r="H211" s="87"/>
      <c r="I211" s="87"/>
      <c r="J211" s="87"/>
      <c r="K211" s="87"/>
      <c r="L211" s="87"/>
      <c r="M211" s="87"/>
      <c r="N211" s="87"/>
      <c r="O211" s="87"/>
      <c r="P211" s="88"/>
    </row>
    <row r="212" spans="1:16">
      <c r="A212" s="85"/>
      <c r="B212" s="86"/>
      <c r="C212" s="86"/>
      <c r="D212" s="87"/>
      <c r="E212" s="87"/>
      <c r="F212" s="87"/>
      <c r="G212" s="87"/>
      <c r="H212" s="87"/>
      <c r="I212" s="87"/>
      <c r="J212" s="87"/>
      <c r="K212" s="87"/>
      <c r="L212" s="87"/>
      <c r="M212" s="87"/>
      <c r="N212" s="87"/>
      <c r="O212" s="87"/>
      <c r="P212" s="88"/>
    </row>
    <row r="213" spans="1:16">
      <c r="A213" s="85"/>
      <c r="B213" s="86"/>
      <c r="C213" s="86"/>
      <c r="D213" s="87"/>
      <c r="E213" s="87"/>
      <c r="F213" s="87"/>
      <c r="G213" s="87"/>
      <c r="H213" s="87"/>
      <c r="I213" s="87"/>
      <c r="J213" s="87"/>
      <c r="K213" s="87"/>
      <c r="L213" s="87"/>
      <c r="M213" s="87"/>
      <c r="N213" s="87"/>
      <c r="O213" s="87"/>
      <c r="P213" s="88"/>
    </row>
    <row r="214" spans="1:16">
      <c r="A214" s="85"/>
      <c r="B214" s="86"/>
      <c r="C214" s="86"/>
      <c r="D214" s="87"/>
      <c r="E214" s="87"/>
      <c r="F214" s="87"/>
      <c r="G214" s="87"/>
      <c r="H214" s="87"/>
      <c r="I214" s="87"/>
      <c r="J214" s="87"/>
      <c r="K214" s="87"/>
      <c r="L214" s="87"/>
      <c r="M214" s="87"/>
      <c r="N214" s="87"/>
      <c r="O214" s="87"/>
      <c r="P214" s="88"/>
    </row>
    <row r="215" spans="1:16">
      <c r="A215" s="85"/>
      <c r="B215" s="86"/>
      <c r="C215" s="86"/>
      <c r="D215" s="87"/>
      <c r="E215" s="87"/>
      <c r="F215" s="87"/>
      <c r="G215" s="87"/>
      <c r="H215" s="87"/>
      <c r="I215" s="87"/>
      <c r="J215" s="87"/>
      <c r="K215" s="87"/>
      <c r="L215" s="87"/>
      <c r="M215" s="87"/>
      <c r="N215" s="87"/>
      <c r="O215" s="87"/>
      <c r="P215" s="88"/>
    </row>
    <row r="216" spans="1:16">
      <c r="A216" s="85"/>
      <c r="B216" s="86"/>
      <c r="C216" s="86"/>
      <c r="D216" s="87"/>
      <c r="E216" s="87"/>
      <c r="F216" s="87"/>
      <c r="G216" s="87"/>
      <c r="H216" s="87"/>
      <c r="I216" s="87"/>
      <c r="J216" s="87"/>
      <c r="K216" s="87"/>
      <c r="L216" s="87"/>
      <c r="M216" s="87"/>
      <c r="N216" s="87"/>
      <c r="O216" s="87"/>
      <c r="P216" s="88"/>
    </row>
    <row r="217" spans="1:16">
      <c r="A217" s="85"/>
      <c r="B217" s="86"/>
      <c r="C217" s="86"/>
      <c r="D217" s="87"/>
      <c r="E217" s="87"/>
      <c r="F217" s="87"/>
      <c r="G217" s="87"/>
      <c r="H217" s="87"/>
      <c r="I217" s="87"/>
      <c r="J217" s="87"/>
      <c r="K217" s="87"/>
      <c r="L217" s="87"/>
      <c r="M217" s="87"/>
      <c r="N217" s="87"/>
      <c r="O217" s="87"/>
      <c r="P217" s="88"/>
    </row>
    <row r="218" spans="1:16">
      <c r="A218" s="85"/>
      <c r="B218" s="86"/>
      <c r="C218" s="86"/>
      <c r="D218" s="87"/>
      <c r="E218" s="87"/>
      <c r="F218" s="87"/>
      <c r="G218" s="87"/>
      <c r="H218" s="87"/>
      <c r="I218" s="87"/>
      <c r="J218" s="87"/>
      <c r="K218" s="87"/>
      <c r="L218" s="87"/>
      <c r="M218" s="87"/>
      <c r="N218" s="87"/>
      <c r="O218" s="87"/>
      <c r="P218" s="88"/>
    </row>
    <row r="219" spans="1:16">
      <c r="A219" s="85"/>
      <c r="B219" s="86"/>
      <c r="C219" s="86"/>
      <c r="D219" s="87"/>
      <c r="E219" s="87"/>
      <c r="F219" s="87"/>
      <c r="G219" s="87"/>
      <c r="H219" s="87"/>
      <c r="I219" s="87"/>
      <c r="J219" s="87"/>
      <c r="K219" s="87"/>
      <c r="L219" s="87"/>
      <c r="M219" s="87"/>
      <c r="N219" s="87"/>
      <c r="O219" s="87"/>
      <c r="P219" s="88"/>
    </row>
    <row r="220" spans="1:16">
      <c r="A220" s="85"/>
      <c r="B220" s="86"/>
      <c r="C220" s="86"/>
      <c r="D220" s="87"/>
      <c r="E220" s="87"/>
      <c r="F220" s="87"/>
      <c r="G220" s="87"/>
      <c r="H220" s="87"/>
      <c r="I220" s="87"/>
      <c r="J220" s="87"/>
      <c r="K220" s="87"/>
      <c r="L220" s="87"/>
      <c r="M220" s="87"/>
      <c r="N220" s="87"/>
      <c r="O220" s="87"/>
      <c r="P220" s="88"/>
    </row>
    <row r="221" spans="1:16">
      <c r="A221" s="85"/>
      <c r="B221" s="86"/>
      <c r="C221" s="86"/>
      <c r="D221" s="87"/>
      <c r="E221" s="87"/>
      <c r="F221" s="87"/>
      <c r="G221" s="87"/>
      <c r="H221" s="87"/>
      <c r="I221" s="87"/>
      <c r="J221" s="87"/>
      <c r="K221" s="87"/>
      <c r="L221" s="87"/>
      <c r="M221" s="87"/>
      <c r="N221" s="87"/>
      <c r="O221" s="87"/>
      <c r="P221" s="88"/>
    </row>
    <row r="222" spans="1:16">
      <c r="A222" s="85"/>
      <c r="B222" s="86"/>
      <c r="C222" s="86"/>
      <c r="D222" s="87"/>
      <c r="E222" s="87"/>
      <c r="F222" s="87"/>
      <c r="G222" s="87"/>
      <c r="H222" s="87"/>
      <c r="I222" s="87"/>
      <c r="J222" s="87"/>
      <c r="K222" s="87"/>
      <c r="L222" s="87"/>
      <c r="M222" s="87"/>
      <c r="N222" s="87"/>
      <c r="O222" s="87"/>
      <c r="P222" s="88"/>
    </row>
    <row r="223" spans="1:16">
      <c r="A223" s="85"/>
      <c r="B223" s="86"/>
      <c r="C223" s="86"/>
      <c r="D223" s="87"/>
      <c r="E223" s="87"/>
      <c r="F223" s="87"/>
      <c r="G223" s="87"/>
      <c r="H223" s="87"/>
      <c r="I223" s="87"/>
      <c r="J223" s="87"/>
      <c r="K223" s="87"/>
      <c r="L223" s="87"/>
      <c r="M223" s="87"/>
      <c r="N223" s="87"/>
      <c r="O223" s="87"/>
      <c r="P223" s="88"/>
    </row>
    <row r="224" spans="1:16">
      <c r="A224" s="85"/>
      <c r="B224" s="86"/>
      <c r="C224" s="86"/>
      <c r="D224" s="87"/>
      <c r="E224" s="87"/>
      <c r="F224" s="87"/>
      <c r="G224" s="87"/>
      <c r="H224" s="87"/>
      <c r="I224" s="87"/>
      <c r="J224" s="87"/>
      <c r="K224" s="87"/>
      <c r="L224" s="87"/>
      <c r="M224" s="87"/>
      <c r="N224" s="87"/>
      <c r="O224" s="87"/>
      <c r="P224" s="88"/>
    </row>
    <row r="225" spans="1:16">
      <c r="A225" s="85"/>
      <c r="B225" s="86"/>
      <c r="C225" s="86"/>
      <c r="D225" s="87"/>
      <c r="E225" s="87"/>
      <c r="F225" s="87"/>
      <c r="G225" s="87"/>
      <c r="H225" s="87"/>
      <c r="I225" s="87"/>
      <c r="J225" s="87"/>
      <c r="K225" s="87"/>
      <c r="L225" s="87"/>
      <c r="M225" s="87"/>
      <c r="N225" s="87"/>
      <c r="O225" s="87"/>
      <c r="P225" s="88"/>
    </row>
    <row r="226" spans="1:16">
      <c r="A226" s="85"/>
      <c r="B226" s="86"/>
      <c r="C226" s="86"/>
      <c r="D226" s="87"/>
      <c r="E226" s="87"/>
      <c r="F226" s="87"/>
      <c r="G226" s="87"/>
      <c r="H226" s="87"/>
      <c r="I226" s="87"/>
      <c r="J226" s="87"/>
      <c r="K226" s="87"/>
      <c r="L226" s="87"/>
      <c r="M226" s="87"/>
      <c r="N226" s="87"/>
      <c r="O226" s="87"/>
      <c r="P226" s="88"/>
    </row>
    <row r="227" spans="1:16">
      <c r="A227" s="85"/>
      <c r="B227" s="86"/>
      <c r="C227" s="86"/>
      <c r="D227" s="87"/>
      <c r="E227" s="87"/>
      <c r="F227" s="87"/>
      <c r="G227" s="87"/>
      <c r="H227" s="87"/>
      <c r="I227" s="87"/>
      <c r="J227" s="87"/>
      <c r="K227" s="87"/>
      <c r="L227" s="87"/>
      <c r="M227" s="87"/>
      <c r="N227" s="87"/>
      <c r="O227" s="87"/>
      <c r="P227" s="88"/>
    </row>
    <row r="228" spans="1:16">
      <c r="A228" s="85"/>
      <c r="B228" s="86"/>
      <c r="C228" s="86"/>
      <c r="D228" s="87"/>
      <c r="E228" s="87"/>
      <c r="F228" s="87"/>
      <c r="G228" s="87"/>
      <c r="H228" s="87"/>
      <c r="I228" s="87"/>
      <c r="J228" s="87"/>
      <c r="K228" s="87"/>
      <c r="L228" s="87"/>
      <c r="M228" s="87"/>
      <c r="N228" s="87"/>
      <c r="O228" s="87"/>
      <c r="P228" s="88"/>
    </row>
    <row r="229" spans="1:16">
      <c r="A229" s="85"/>
      <c r="B229" s="86"/>
      <c r="C229" s="86"/>
      <c r="D229" s="87"/>
      <c r="E229" s="87"/>
      <c r="F229" s="87"/>
      <c r="G229" s="87"/>
      <c r="H229" s="87"/>
      <c r="I229" s="87"/>
      <c r="J229" s="87"/>
      <c r="K229" s="87"/>
      <c r="L229" s="87"/>
      <c r="M229" s="87"/>
      <c r="N229" s="87"/>
      <c r="O229" s="87"/>
      <c r="P229" s="88"/>
    </row>
    <row r="230" spans="1:16">
      <c r="A230" s="85"/>
      <c r="B230" s="86"/>
      <c r="C230" s="86"/>
      <c r="D230" s="87"/>
      <c r="E230" s="87"/>
      <c r="F230" s="87"/>
      <c r="G230" s="87"/>
      <c r="H230" s="87"/>
      <c r="I230" s="87"/>
      <c r="J230" s="87"/>
      <c r="K230" s="87"/>
      <c r="L230" s="87"/>
      <c r="M230" s="87"/>
      <c r="N230" s="87"/>
      <c r="O230" s="87"/>
      <c r="P230" s="88"/>
    </row>
    <row r="231" spans="1:16">
      <c r="A231" s="85"/>
      <c r="B231" s="86"/>
      <c r="C231" s="86"/>
      <c r="D231" s="87"/>
      <c r="E231" s="87"/>
      <c r="F231" s="87"/>
      <c r="G231" s="87"/>
      <c r="H231" s="87"/>
      <c r="I231" s="87"/>
      <c r="J231" s="87"/>
      <c r="K231" s="87"/>
      <c r="L231" s="87"/>
      <c r="M231" s="87"/>
      <c r="N231" s="87"/>
      <c r="O231" s="87"/>
      <c r="P231" s="88"/>
    </row>
    <row r="232" spans="1:16">
      <c r="A232" s="85"/>
      <c r="B232" s="86"/>
      <c r="C232" s="86"/>
      <c r="D232" s="87"/>
      <c r="E232" s="87"/>
      <c r="F232" s="87"/>
      <c r="G232" s="87"/>
      <c r="H232" s="87"/>
      <c r="I232" s="87"/>
      <c r="J232" s="87"/>
      <c r="K232" s="87"/>
      <c r="L232" s="87"/>
      <c r="M232" s="87"/>
      <c r="N232" s="87"/>
      <c r="O232" s="87"/>
      <c r="P232" s="88"/>
    </row>
    <row r="233" spans="1:16">
      <c r="A233" s="85"/>
      <c r="B233" s="86"/>
      <c r="C233" s="86"/>
      <c r="D233" s="87"/>
      <c r="E233" s="87"/>
      <c r="F233" s="87"/>
      <c r="G233" s="87"/>
      <c r="H233" s="87"/>
      <c r="I233" s="87"/>
      <c r="J233" s="87"/>
      <c r="K233" s="87"/>
      <c r="L233" s="87"/>
      <c r="M233" s="87"/>
      <c r="N233" s="87"/>
      <c r="O233" s="87"/>
      <c r="P233" s="88"/>
    </row>
    <row r="234" spans="1:16">
      <c r="A234" s="85"/>
      <c r="B234" s="86"/>
      <c r="C234" s="86"/>
      <c r="D234" s="87"/>
      <c r="E234" s="87"/>
      <c r="F234" s="87"/>
      <c r="G234" s="87"/>
      <c r="H234" s="87"/>
      <c r="I234" s="87"/>
      <c r="J234" s="87"/>
      <c r="K234" s="87"/>
      <c r="L234" s="87"/>
      <c r="M234" s="87"/>
      <c r="N234" s="87"/>
      <c r="O234" s="87"/>
      <c r="P234" s="88"/>
    </row>
    <row r="235" spans="1:16">
      <c r="A235" s="85"/>
      <c r="B235" s="86"/>
      <c r="C235" s="86"/>
      <c r="D235" s="87"/>
      <c r="E235" s="87"/>
      <c r="F235" s="87"/>
      <c r="G235" s="87"/>
      <c r="H235" s="87"/>
      <c r="I235" s="87"/>
      <c r="J235" s="87"/>
      <c r="K235" s="87"/>
      <c r="L235" s="87"/>
      <c r="M235" s="87"/>
      <c r="N235" s="87"/>
      <c r="O235" s="87"/>
      <c r="P235" s="88"/>
    </row>
    <row r="236" spans="1:16">
      <c r="A236" s="85"/>
      <c r="B236" s="86"/>
      <c r="C236" s="86"/>
      <c r="D236" s="87"/>
      <c r="E236" s="87"/>
      <c r="F236" s="87"/>
      <c r="G236" s="87"/>
      <c r="H236" s="87"/>
      <c r="I236" s="87"/>
      <c r="J236" s="87"/>
      <c r="K236" s="87"/>
      <c r="L236" s="87"/>
      <c r="M236" s="87"/>
      <c r="N236" s="87"/>
      <c r="O236" s="87"/>
      <c r="P236" s="88"/>
    </row>
    <row r="237" spans="1:16">
      <c r="A237" s="85"/>
      <c r="B237" s="86"/>
      <c r="C237" s="86"/>
      <c r="D237" s="87"/>
      <c r="E237" s="87"/>
      <c r="F237" s="87"/>
      <c r="G237" s="87"/>
      <c r="H237" s="87"/>
      <c r="I237" s="87"/>
      <c r="J237" s="87"/>
      <c r="K237" s="87"/>
      <c r="L237" s="87"/>
      <c r="M237" s="87"/>
      <c r="N237" s="87"/>
      <c r="O237" s="87"/>
      <c r="P237" s="88"/>
    </row>
    <row r="238" spans="1:16">
      <c r="A238" s="85"/>
      <c r="B238" s="86"/>
      <c r="C238" s="86"/>
      <c r="D238" s="87"/>
      <c r="E238" s="87"/>
      <c r="F238" s="87"/>
      <c r="G238" s="87"/>
      <c r="H238" s="87"/>
      <c r="I238" s="87"/>
      <c r="J238" s="87"/>
      <c r="K238" s="87"/>
      <c r="L238" s="87"/>
      <c r="M238" s="87"/>
      <c r="N238" s="87"/>
      <c r="O238" s="87"/>
      <c r="P238" s="88"/>
    </row>
    <row r="239" spans="1:16">
      <c r="A239" s="85"/>
      <c r="B239" s="86"/>
      <c r="C239" s="86"/>
      <c r="D239" s="87"/>
      <c r="E239" s="87"/>
      <c r="F239" s="87"/>
      <c r="G239" s="87"/>
      <c r="H239" s="87"/>
      <c r="I239" s="87"/>
      <c r="J239" s="87"/>
      <c r="K239" s="87"/>
      <c r="L239" s="87"/>
      <c r="M239" s="87"/>
      <c r="N239" s="87"/>
      <c r="O239" s="87"/>
      <c r="P239" s="88"/>
    </row>
    <row r="240" spans="1:16">
      <c r="A240" s="85"/>
      <c r="B240" s="86"/>
      <c r="C240" s="86"/>
      <c r="D240" s="87"/>
      <c r="E240" s="87"/>
      <c r="F240" s="87"/>
      <c r="G240" s="87"/>
      <c r="H240" s="87"/>
      <c r="I240" s="87"/>
      <c r="J240" s="87"/>
      <c r="K240" s="87"/>
      <c r="L240" s="87"/>
      <c r="M240" s="87"/>
      <c r="N240" s="87"/>
      <c r="O240" s="87"/>
      <c r="P240" s="88"/>
    </row>
    <row r="241" spans="1:16">
      <c r="A241" s="85"/>
      <c r="B241" s="86"/>
      <c r="C241" s="86"/>
      <c r="D241" s="87"/>
      <c r="E241" s="87"/>
      <c r="F241" s="87"/>
      <c r="G241" s="87"/>
      <c r="H241" s="87"/>
      <c r="I241" s="87"/>
      <c r="J241" s="87"/>
      <c r="K241" s="87"/>
      <c r="L241" s="87"/>
      <c r="M241" s="87"/>
      <c r="N241" s="87"/>
      <c r="O241" s="87"/>
      <c r="P241" s="88"/>
    </row>
    <row r="242" spans="1:16">
      <c r="A242" s="85"/>
      <c r="B242" s="86"/>
      <c r="C242" s="86"/>
      <c r="D242" s="87"/>
      <c r="E242" s="87"/>
      <c r="F242" s="87"/>
      <c r="G242" s="87"/>
      <c r="H242" s="87"/>
      <c r="I242" s="87"/>
      <c r="J242" s="87"/>
      <c r="K242" s="87"/>
      <c r="L242" s="87"/>
      <c r="M242" s="87"/>
      <c r="N242" s="87"/>
      <c r="O242" s="87"/>
      <c r="P242" s="88"/>
    </row>
    <row r="243" spans="1:16">
      <c r="A243" s="85"/>
      <c r="B243" s="86"/>
      <c r="C243" s="86"/>
      <c r="D243" s="87"/>
      <c r="E243" s="87"/>
      <c r="F243" s="87"/>
      <c r="G243" s="87"/>
      <c r="H243" s="87"/>
      <c r="I243" s="87"/>
      <c r="J243" s="87"/>
      <c r="K243" s="87"/>
      <c r="L243" s="87"/>
      <c r="M243" s="87"/>
      <c r="N243" s="87"/>
      <c r="O243" s="87"/>
      <c r="P243" s="88"/>
    </row>
    <row r="244" spans="1:16">
      <c r="A244" s="85"/>
      <c r="B244" s="86"/>
      <c r="C244" s="86"/>
      <c r="D244" s="87"/>
      <c r="E244" s="87"/>
      <c r="F244" s="87"/>
      <c r="G244" s="87"/>
      <c r="H244" s="87"/>
      <c r="I244" s="87"/>
      <c r="J244" s="87"/>
      <c r="K244" s="87"/>
      <c r="L244" s="87"/>
      <c r="M244" s="87"/>
      <c r="N244" s="87"/>
      <c r="O244" s="87"/>
      <c r="P244" s="88"/>
    </row>
    <row r="245" spans="1:16">
      <c r="A245" s="85"/>
      <c r="B245" s="86"/>
      <c r="C245" s="86"/>
      <c r="D245" s="87"/>
      <c r="E245" s="87"/>
      <c r="F245" s="87"/>
      <c r="G245" s="87"/>
      <c r="H245" s="87"/>
      <c r="I245" s="87"/>
      <c r="J245" s="87"/>
      <c r="K245" s="87"/>
      <c r="L245" s="87"/>
      <c r="M245" s="87"/>
      <c r="N245" s="87"/>
      <c r="O245" s="87"/>
      <c r="P245" s="88"/>
    </row>
    <row r="246" spans="1:16">
      <c r="A246" s="85"/>
      <c r="B246" s="86"/>
      <c r="C246" s="86"/>
      <c r="D246" s="87"/>
      <c r="E246" s="87"/>
      <c r="F246" s="87"/>
      <c r="G246" s="87"/>
      <c r="H246" s="87"/>
      <c r="I246" s="87"/>
      <c r="J246" s="87"/>
      <c r="K246" s="87"/>
      <c r="L246" s="87"/>
      <c r="M246" s="87"/>
      <c r="N246" s="87"/>
      <c r="O246" s="87"/>
      <c r="P246" s="88"/>
    </row>
    <row r="247" spans="1:16">
      <c r="A247" s="85"/>
      <c r="B247" s="86"/>
      <c r="C247" s="86"/>
      <c r="D247" s="87"/>
      <c r="E247" s="87"/>
      <c r="F247" s="87"/>
      <c r="G247" s="87"/>
      <c r="H247" s="87"/>
      <c r="I247" s="87"/>
      <c r="J247" s="87"/>
      <c r="K247" s="87"/>
      <c r="L247" s="87"/>
      <c r="M247" s="87"/>
      <c r="N247" s="87"/>
      <c r="O247" s="87"/>
      <c r="P247" s="88"/>
    </row>
    <row r="248" spans="1:16">
      <c r="A248" s="85"/>
      <c r="B248" s="86"/>
      <c r="C248" s="86"/>
      <c r="D248" s="87"/>
      <c r="E248" s="87"/>
      <c r="F248" s="87"/>
      <c r="G248" s="87"/>
      <c r="H248" s="87"/>
      <c r="I248" s="87"/>
      <c r="J248" s="87"/>
      <c r="K248" s="87"/>
      <c r="L248" s="87"/>
      <c r="M248" s="87"/>
      <c r="N248" s="87"/>
      <c r="O248" s="87"/>
      <c r="P248" s="88"/>
    </row>
    <row r="249" spans="1:16">
      <c r="A249" s="85"/>
      <c r="B249" s="86"/>
      <c r="C249" s="86"/>
      <c r="D249" s="87"/>
      <c r="E249" s="87"/>
      <c r="F249" s="87"/>
      <c r="G249" s="87"/>
      <c r="H249" s="87"/>
      <c r="I249" s="87"/>
      <c r="J249" s="87"/>
      <c r="K249" s="87"/>
      <c r="L249" s="87"/>
      <c r="M249" s="87"/>
      <c r="N249" s="87"/>
      <c r="O249" s="87"/>
      <c r="P249" s="88"/>
    </row>
    <row r="250" spans="1:16">
      <c r="A250" s="85"/>
      <c r="B250" s="86"/>
      <c r="C250" s="86"/>
      <c r="D250" s="87"/>
      <c r="E250" s="87"/>
      <c r="F250" s="87"/>
      <c r="G250" s="87"/>
      <c r="H250" s="87"/>
      <c r="I250" s="87"/>
      <c r="J250" s="87"/>
      <c r="K250" s="87"/>
      <c r="L250" s="87"/>
      <c r="M250" s="87"/>
      <c r="N250" s="87"/>
      <c r="O250" s="87"/>
      <c r="P250" s="88"/>
    </row>
    <row r="251" spans="1:16">
      <c r="A251" s="85"/>
      <c r="B251" s="86"/>
      <c r="C251" s="86"/>
      <c r="D251" s="87"/>
      <c r="E251" s="87"/>
      <c r="F251" s="87"/>
      <c r="G251" s="87"/>
      <c r="H251" s="87"/>
      <c r="I251" s="87"/>
      <c r="J251" s="87"/>
      <c r="K251" s="87"/>
      <c r="L251" s="87"/>
      <c r="M251" s="87"/>
      <c r="N251" s="87"/>
      <c r="O251" s="87"/>
      <c r="P251" s="88"/>
    </row>
    <row r="252" spans="1:16">
      <c r="A252" s="85"/>
      <c r="B252" s="86"/>
      <c r="C252" s="86"/>
      <c r="D252" s="87"/>
      <c r="E252" s="87"/>
      <c r="F252" s="87"/>
      <c r="G252" s="87"/>
      <c r="H252" s="87"/>
      <c r="I252" s="87"/>
      <c r="J252" s="87"/>
      <c r="K252" s="87"/>
      <c r="L252" s="87"/>
      <c r="M252" s="87"/>
      <c r="N252" s="87"/>
      <c r="O252" s="87"/>
      <c r="P252" s="88"/>
    </row>
    <row r="253" spans="1:16">
      <c r="A253" s="85"/>
      <c r="B253" s="86"/>
      <c r="C253" s="86"/>
      <c r="D253" s="87"/>
      <c r="E253" s="87"/>
      <c r="F253" s="87"/>
      <c r="G253" s="87"/>
      <c r="H253" s="87"/>
      <c r="I253" s="87"/>
      <c r="J253" s="87"/>
      <c r="K253" s="87"/>
      <c r="L253" s="87"/>
      <c r="M253" s="87"/>
      <c r="N253" s="87"/>
      <c r="O253" s="87"/>
      <c r="P253" s="88"/>
    </row>
    <row r="254" spans="1:16">
      <c r="A254" s="85"/>
      <c r="B254" s="86"/>
      <c r="C254" s="86"/>
      <c r="D254" s="87"/>
      <c r="E254" s="87"/>
      <c r="F254" s="87"/>
      <c r="G254" s="87"/>
      <c r="H254" s="87"/>
      <c r="I254" s="87"/>
      <c r="J254" s="87"/>
      <c r="K254" s="87"/>
      <c r="L254" s="87"/>
      <c r="M254" s="87"/>
      <c r="N254" s="87"/>
      <c r="O254" s="87"/>
      <c r="P254" s="88"/>
    </row>
    <row r="255" spans="1:16">
      <c r="A255" s="85"/>
      <c r="B255" s="86"/>
      <c r="C255" s="86"/>
      <c r="D255" s="87"/>
      <c r="E255" s="87"/>
      <c r="F255" s="87"/>
      <c r="G255" s="87"/>
      <c r="H255" s="87"/>
      <c r="I255" s="87"/>
      <c r="J255" s="87"/>
      <c r="K255" s="87"/>
      <c r="L255" s="87"/>
      <c r="M255" s="87"/>
      <c r="N255" s="87"/>
      <c r="O255" s="87"/>
      <c r="P255" s="88"/>
    </row>
    <row r="256" spans="1:16">
      <c r="A256" s="85"/>
      <c r="B256" s="86"/>
      <c r="C256" s="86"/>
      <c r="D256" s="87"/>
      <c r="E256" s="87"/>
      <c r="F256" s="87"/>
      <c r="G256" s="87"/>
      <c r="H256" s="87"/>
      <c r="I256" s="87"/>
      <c r="J256" s="87"/>
      <c r="K256" s="87"/>
      <c r="L256" s="87"/>
      <c r="M256" s="87"/>
      <c r="N256" s="87"/>
      <c r="O256" s="87"/>
      <c r="P256" s="88"/>
    </row>
    <row r="257" spans="1:16">
      <c r="A257" s="85"/>
      <c r="B257" s="86"/>
      <c r="C257" s="86"/>
      <c r="D257" s="87"/>
      <c r="E257" s="87"/>
      <c r="F257" s="87"/>
      <c r="G257" s="87"/>
      <c r="H257" s="87"/>
      <c r="I257" s="87"/>
      <c r="J257" s="87"/>
      <c r="K257" s="87"/>
      <c r="L257" s="87"/>
      <c r="M257" s="87"/>
      <c r="N257" s="87"/>
      <c r="O257" s="87"/>
      <c r="P257" s="88"/>
    </row>
    <row r="258" spans="1:16">
      <c r="A258" s="85"/>
      <c r="B258" s="86"/>
      <c r="C258" s="86"/>
      <c r="D258" s="87"/>
      <c r="E258" s="87"/>
      <c r="F258" s="87"/>
      <c r="G258" s="87"/>
      <c r="H258" s="87"/>
      <c r="I258" s="87"/>
      <c r="J258" s="87"/>
      <c r="K258" s="87"/>
      <c r="L258" s="87"/>
      <c r="M258" s="87"/>
      <c r="N258" s="87"/>
      <c r="O258" s="87"/>
      <c r="P258" s="88"/>
    </row>
    <row r="259" spans="1:16">
      <c r="A259" s="85"/>
      <c r="B259" s="86"/>
      <c r="C259" s="86"/>
      <c r="D259" s="87"/>
      <c r="E259" s="87"/>
      <c r="F259" s="87"/>
      <c r="G259" s="87"/>
      <c r="H259" s="87"/>
      <c r="I259" s="87"/>
      <c r="J259" s="87"/>
      <c r="K259" s="87"/>
      <c r="L259" s="87"/>
      <c r="M259" s="87"/>
      <c r="N259" s="87"/>
      <c r="O259" s="87"/>
      <c r="P259" s="88"/>
    </row>
    <row r="260" spans="1:16">
      <c r="A260" s="85"/>
      <c r="B260" s="86"/>
      <c r="C260" s="86"/>
      <c r="D260" s="87"/>
      <c r="E260" s="87"/>
      <c r="F260" s="87"/>
      <c r="G260" s="87"/>
      <c r="H260" s="87"/>
      <c r="I260" s="87"/>
      <c r="J260" s="87"/>
      <c r="K260" s="87"/>
      <c r="L260" s="87"/>
      <c r="M260" s="87"/>
      <c r="N260" s="87"/>
      <c r="O260" s="87"/>
      <c r="P260" s="88"/>
    </row>
    <row r="261" spans="1:16">
      <c r="A261" s="85"/>
      <c r="B261" s="86"/>
      <c r="C261" s="86"/>
      <c r="D261" s="87"/>
      <c r="E261" s="87"/>
      <c r="F261" s="87"/>
      <c r="G261" s="87"/>
      <c r="H261" s="87"/>
      <c r="I261" s="87"/>
      <c r="J261" s="87"/>
      <c r="K261" s="87"/>
      <c r="L261" s="87"/>
      <c r="M261" s="87"/>
      <c r="N261" s="87"/>
      <c r="O261" s="87"/>
      <c r="P261" s="88"/>
    </row>
    <row r="262" spans="1:16">
      <c r="A262" s="85"/>
      <c r="B262" s="86"/>
      <c r="C262" s="86"/>
      <c r="D262" s="87"/>
      <c r="E262" s="87"/>
      <c r="F262" s="87"/>
      <c r="G262" s="87"/>
      <c r="H262" s="87"/>
      <c r="I262" s="87"/>
      <c r="J262" s="87"/>
      <c r="K262" s="87"/>
      <c r="L262" s="87"/>
      <c r="M262" s="87"/>
      <c r="N262" s="87"/>
      <c r="O262" s="87"/>
      <c r="P262" s="88"/>
    </row>
    <row r="263" spans="1:16">
      <c r="A263" s="85"/>
      <c r="B263" s="86"/>
      <c r="C263" s="86"/>
      <c r="D263" s="87"/>
      <c r="E263" s="87"/>
      <c r="F263" s="87"/>
      <c r="G263" s="87"/>
      <c r="H263" s="87"/>
      <c r="I263" s="87"/>
      <c r="J263" s="87"/>
      <c r="K263" s="87"/>
      <c r="L263" s="87"/>
      <c r="M263" s="87"/>
      <c r="N263" s="87"/>
      <c r="O263" s="87"/>
      <c r="P263" s="88"/>
    </row>
    <row r="264" spans="1:16">
      <c r="A264" s="85"/>
      <c r="B264" s="86"/>
      <c r="C264" s="86"/>
      <c r="D264" s="87"/>
      <c r="E264" s="87"/>
      <c r="F264" s="87"/>
      <c r="G264" s="87"/>
      <c r="H264" s="87"/>
      <c r="I264" s="87"/>
      <c r="J264" s="87"/>
      <c r="K264" s="87"/>
      <c r="L264" s="87"/>
      <c r="M264" s="87"/>
      <c r="N264" s="87"/>
      <c r="O264" s="87"/>
      <c r="P264" s="88"/>
    </row>
    <row r="265" spans="1:16">
      <c r="A265" s="85"/>
      <c r="B265" s="86"/>
      <c r="C265" s="86"/>
      <c r="D265" s="87"/>
      <c r="E265" s="87"/>
      <c r="F265" s="87"/>
      <c r="G265" s="87"/>
      <c r="H265" s="87"/>
      <c r="I265" s="87"/>
      <c r="J265" s="87"/>
      <c r="K265" s="87"/>
      <c r="L265" s="87"/>
      <c r="M265" s="87"/>
      <c r="N265" s="87"/>
      <c r="O265" s="87"/>
      <c r="P265" s="88"/>
    </row>
    <row r="266" spans="1:16">
      <c r="A266" s="85"/>
      <c r="B266" s="86"/>
      <c r="C266" s="86"/>
      <c r="D266" s="87"/>
      <c r="E266" s="87"/>
      <c r="F266" s="87"/>
      <c r="G266" s="87"/>
      <c r="H266" s="87"/>
      <c r="I266" s="87"/>
      <c r="J266" s="87"/>
      <c r="K266" s="87"/>
      <c r="L266" s="87"/>
      <c r="M266" s="87"/>
      <c r="N266" s="87"/>
      <c r="O266" s="87"/>
      <c r="P266" s="88"/>
    </row>
    <row r="267" spans="1:16">
      <c r="A267" s="85"/>
      <c r="B267" s="86"/>
      <c r="C267" s="86"/>
      <c r="D267" s="87"/>
      <c r="E267" s="87"/>
      <c r="F267" s="87"/>
      <c r="G267" s="87"/>
      <c r="H267" s="87"/>
      <c r="I267" s="87"/>
      <c r="J267" s="87"/>
      <c r="K267" s="87"/>
      <c r="L267" s="87"/>
      <c r="M267" s="87"/>
      <c r="N267" s="87"/>
      <c r="O267" s="87"/>
      <c r="P267" s="88"/>
    </row>
    <row r="268" spans="1:16">
      <c r="A268" s="85"/>
      <c r="B268" s="86"/>
      <c r="C268" s="86"/>
      <c r="D268" s="87"/>
      <c r="E268" s="87"/>
      <c r="F268" s="87"/>
      <c r="G268" s="87"/>
      <c r="H268" s="87"/>
      <c r="I268" s="87"/>
      <c r="J268" s="87"/>
      <c r="K268" s="87"/>
      <c r="L268" s="87"/>
      <c r="M268" s="87"/>
      <c r="N268" s="87"/>
      <c r="O268" s="87"/>
      <c r="P268" s="88"/>
    </row>
    <row r="269" spans="1:16">
      <c r="A269" s="85"/>
      <c r="B269" s="86"/>
      <c r="C269" s="86"/>
      <c r="D269" s="87"/>
      <c r="E269" s="87"/>
      <c r="F269" s="87"/>
      <c r="G269" s="87"/>
      <c r="H269" s="87"/>
      <c r="I269" s="87"/>
      <c r="J269" s="87"/>
      <c r="K269" s="87"/>
      <c r="L269" s="87"/>
      <c r="M269" s="87"/>
      <c r="N269" s="87"/>
      <c r="O269" s="87"/>
      <c r="P269" s="88"/>
    </row>
    <row r="270" spans="1:16">
      <c r="A270" s="85"/>
      <c r="B270" s="86"/>
      <c r="C270" s="86"/>
      <c r="D270" s="87"/>
      <c r="E270" s="87"/>
      <c r="F270" s="87"/>
      <c r="G270" s="87"/>
      <c r="H270" s="87"/>
      <c r="I270" s="87"/>
      <c r="J270" s="87"/>
      <c r="K270" s="87"/>
      <c r="L270" s="87"/>
      <c r="M270" s="87"/>
      <c r="N270" s="87"/>
      <c r="O270" s="87"/>
      <c r="P270" s="88"/>
    </row>
    <row r="271" spans="1:16">
      <c r="A271" s="85"/>
      <c r="B271" s="86"/>
      <c r="C271" s="86"/>
      <c r="D271" s="87"/>
      <c r="E271" s="87"/>
      <c r="F271" s="87"/>
      <c r="G271" s="87"/>
      <c r="H271" s="87"/>
      <c r="I271" s="87"/>
      <c r="J271" s="87"/>
      <c r="K271" s="87"/>
      <c r="L271" s="87"/>
      <c r="M271" s="87"/>
      <c r="N271" s="87"/>
      <c r="O271" s="87"/>
      <c r="P271" s="88"/>
    </row>
    <row r="272" spans="1:16">
      <c r="A272" s="85"/>
      <c r="B272" s="86"/>
      <c r="C272" s="86"/>
      <c r="D272" s="87"/>
      <c r="E272" s="87"/>
      <c r="F272" s="87"/>
      <c r="G272" s="87"/>
      <c r="H272" s="87"/>
      <c r="I272" s="87"/>
      <c r="J272" s="87"/>
      <c r="K272" s="87"/>
      <c r="L272" s="87"/>
      <c r="M272" s="87"/>
      <c r="N272" s="87"/>
      <c r="O272" s="87"/>
      <c r="P272" s="88"/>
    </row>
    <row r="273" spans="1:16">
      <c r="A273" s="85"/>
      <c r="B273" s="86"/>
      <c r="C273" s="86"/>
      <c r="D273" s="87"/>
      <c r="E273" s="87"/>
      <c r="F273" s="87"/>
      <c r="G273" s="87"/>
      <c r="H273" s="87"/>
      <c r="I273" s="87"/>
      <c r="J273" s="87"/>
      <c r="K273" s="87"/>
      <c r="L273" s="87"/>
      <c r="M273" s="87"/>
      <c r="N273" s="87"/>
      <c r="O273" s="87"/>
      <c r="P273" s="88"/>
    </row>
    <row r="274" spans="1:16">
      <c r="A274" s="85"/>
      <c r="B274" s="86"/>
      <c r="C274" s="86"/>
      <c r="D274" s="87"/>
      <c r="E274" s="87"/>
      <c r="F274" s="87"/>
      <c r="G274" s="87"/>
      <c r="H274" s="87"/>
      <c r="I274" s="87"/>
      <c r="J274" s="87"/>
      <c r="K274" s="87"/>
      <c r="L274" s="87"/>
      <c r="M274" s="87"/>
      <c r="N274" s="87"/>
      <c r="O274" s="87"/>
      <c r="P274" s="88"/>
    </row>
    <row r="275" spans="1:16">
      <c r="A275" s="85"/>
      <c r="B275" s="86"/>
      <c r="C275" s="86"/>
      <c r="D275" s="87"/>
      <c r="E275" s="87"/>
      <c r="F275" s="87"/>
      <c r="G275" s="87"/>
      <c r="H275" s="87"/>
      <c r="I275" s="87"/>
      <c r="J275" s="87"/>
      <c r="K275" s="87"/>
      <c r="L275" s="87"/>
      <c r="M275" s="87"/>
      <c r="N275" s="87"/>
      <c r="O275" s="87"/>
      <c r="P275" s="88"/>
    </row>
    <row r="276" spans="1:16">
      <c r="A276" s="85"/>
      <c r="B276" s="86"/>
      <c r="C276" s="86"/>
      <c r="D276" s="87"/>
      <c r="E276" s="87"/>
      <c r="F276" s="87"/>
      <c r="G276" s="87"/>
      <c r="H276" s="87"/>
      <c r="I276" s="87"/>
      <c r="J276" s="87"/>
      <c r="K276" s="87"/>
      <c r="L276" s="87"/>
      <c r="M276" s="87"/>
      <c r="N276" s="87"/>
      <c r="O276" s="87"/>
      <c r="P276" s="88"/>
    </row>
    <row r="277" spans="1:16">
      <c r="A277" s="85"/>
      <c r="B277" s="86"/>
      <c r="C277" s="86"/>
      <c r="D277" s="87"/>
      <c r="E277" s="87"/>
      <c r="F277" s="87"/>
      <c r="G277" s="87"/>
      <c r="H277" s="87"/>
      <c r="I277" s="87"/>
      <c r="J277" s="87"/>
      <c r="K277" s="87"/>
      <c r="L277" s="87"/>
      <c r="M277" s="87"/>
      <c r="N277" s="87"/>
      <c r="O277" s="87"/>
      <c r="P277" s="88"/>
    </row>
    <row r="278" spans="1:16">
      <c r="A278" s="85"/>
      <c r="B278" s="86"/>
      <c r="C278" s="86"/>
      <c r="D278" s="87"/>
      <c r="E278" s="87"/>
      <c r="F278" s="87"/>
      <c r="G278" s="87"/>
      <c r="H278" s="87"/>
      <c r="I278" s="87"/>
      <c r="J278" s="87"/>
      <c r="K278" s="87"/>
      <c r="L278" s="87"/>
      <c r="M278" s="87"/>
      <c r="N278" s="87"/>
      <c r="O278" s="87"/>
      <c r="P278" s="88"/>
    </row>
    <row r="279" spans="1:16">
      <c r="A279" s="85"/>
      <c r="B279" s="86"/>
      <c r="C279" s="86"/>
      <c r="D279" s="87"/>
      <c r="E279" s="87"/>
      <c r="F279" s="87"/>
      <c r="G279" s="87"/>
      <c r="H279" s="87"/>
      <c r="I279" s="87"/>
      <c r="J279" s="87"/>
      <c r="K279" s="87"/>
      <c r="L279" s="87"/>
      <c r="M279" s="87"/>
      <c r="N279" s="87"/>
      <c r="O279" s="87"/>
      <c r="P279" s="88"/>
    </row>
    <row r="280" spans="1:16">
      <c r="A280" s="85"/>
      <c r="B280" s="86"/>
      <c r="C280" s="86"/>
      <c r="D280" s="87"/>
      <c r="E280" s="87"/>
      <c r="F280" s="87"/>
      <c r="G280" s="87"/>
      <c r="H280" s="87"/>
      <c r="I280" s="87"/>
      <c r="J280" s="87"/>
      <c r="K280" s="87"/>
      <c r="L280" s="87"/>
      <c r="M280" s="87"/>
      <c r="N280" s="87"/>
      <c r="O280" s="87"/>
      <c r="P280" s="88"/>
    </row>
    <row r="281" spans="1:16">
      <c r="A281" s="85"/>
      <c r="B281" s="86"/>
      <c r="C281" s="86"/>
      <c r="D281" s="87"/>
      <c r="E281" s="87"/>
      <c r="F281" s="87"/>
      <c r="G281" s="87"/>
      <c r="H281" s="87"/>
      <c r="I281" s="87"/>
      <c r="J281" s="87"/>
      <c r="K281" s="87"/>
      <c r="L281" s="87"/>
      <c r="M281" s="87"/>
      <c r="N281" s="87"/>
      <c r="O281" s="87"/>
      <c r="P281" s="88"/>
    </row>
    <row r="282" spans="1:16">
      <c r="A282" s="85"/>
      <c r="B282" s="86"/>
      <c r="C282" s="86"/>
      <c r="D282" s="87"/>
      <c r="E282" s="87"/>
      <c r="F282" s="87"/>
      <c r="G282" s="87"/>
      <c r="H282" s="87"/>
      <c r="I282" s="87"/>
      <c r="J282" s="87"/>
      <c r="K282" s="87"/>
      <c r="L282" s="87"/>
      <c r="M282" s="87"/>
      <c r="N282" s="87"/>
      <c r="O282" s="87"/>
      <c r="P282" s="88"/>
    </row>
    <row r="283" spans="1:16">
      <c r="A283" s="85"/>
      <c r="B283" s="86"/>
      <c r="C283" s="86"/>
      <c r="D283" s="87"/>
      <c r="E283" s="87"/>
      <c r="F283" s="87"/>
      <c r="G283" s="87"/>
      <c r="H283" s="87"/>
      <c r="I283" s="87"/>
      <c r="J283" s="87"/>
      <c r="K283" s="87"/>
      <c r="L283" s="87"/>
      <c r="M283" s="87"/>
      <c r="N283" s="87"/>
      <c r="O283" s="87"/>
      <c r="P283" s="88"/>
    </row>
    <row r="284" spans="1:16">
      <c r="A284" s="85"/>
      <c r="B284" s="86"/>
      <c r="C284" s="86"/>
      <c r="D284" s="87"/>
      <c r="E284" s="87"/>
      <c r="F284" s="87"/>
      <c r="G284" s="87"/>
      <c r="H284" s="87"/>
      <c r="I284" s="87"/>
      <c r="J284" s="87"/>
      <c r="K284" s="87"/>
      <c r="L284" s="87"/>
      <c r="M284" s="87"/>
      <c r="N284" s="87"/>
      <c r="O284" s="87"/>
      <c r="P284" s="88"/>
    </row>
    <row r="285" spans="1:16">
      <c r="A285" s="85"/>
      <c r="B285" s="86"/>
      <c r="C285" s="86"/>
      <c r="D285" s="87"/>
      <c r="E285" s="87"/>
      <c r="F285" s="87"/>
      <c r="G285" s="87"/>
      <c r="H285" s="87"/>
      <c r="I285" s="87"/>
      <c r="J285" s="87"/>
      <c r="K285" s="87"/>
      <c r="L285" s="87"/>
      <c r="M285" s="87"/>
      <c r="N285" s="87"/>
      <c r="O285" s="87"/>
      <c r="P285" s="88"/>
    </row>
    <row r="286" spans="1:16">
      <c r="A286" s="85"/>
      <c r="B286" s="86"/>
      <c r="C286" s="86"/>
      <c r="D286" s="87"/>
      <c r="E286" s="87"/>
      <c r="F286" s="87"/>
      <c r="G286" s="87"/>
      <c r="H286" s="87"/>
      <c r="I286" s="87"/>
      <c r="J286" s="87"/>
      <c r="K286" s="87"/>
      <c r="L286" s="87"/>
      <c r="M286" s="87"/>
      <c r="N286" s="87"/>
      <c r="O286" s="87"/>
      <c r="P286" s="88"/>
    </row>
    <row r="287" spans="1:16">
      <c r="A287" s="85"/>
      <c r="B287" s="86"/>
      <c r="C287" s="86"/>
      <c r="D287" s="87"/>
      <c r="E287" s="87"/>
      <c r="F287" s="87"/>
      <c r="G287" s="87"/>
      <c r="H287" s="87"/>
      <c r="I287" s="87"/>
      <c r="J287" s="87"/>
      <c r="K287" s="87"/>
      <c r="L287" s="87"/>
      <c r="M287" s="87"/>
      <c r="N287" s="87"/>
      <c r="O287" s="87"/>
      <c r="P287" s="88"/>
    </row>
    <row r="288" spans="1:16">
      <c r="A288" s="85"/>
      <c r="B288" s="86"/>
      <c r="C288" s="86"/>
      <c r="D288" s="87"/>
      <c r="E288" s="87"/>
      <c r="F288" s="87"/>
      <c r="G288" s="87"/>
      <c r="H288" s="87"/>
      <c r="I288" s="87"/>
      <c r="J288" s="87"/>
      <c r="K288" s="87"/>
      <c r="L288" s="87"/>
      <c r="M288" s="87"/>
      <c r="N288" s="87"/>
      <c r="O288" s="87"/>
      <c r="P288" s="88"/>
    </row>
    <row r="289" spans="1:16">
      <c r="A289" s="85"/>
      <c r="B289" s="86"/>
      <c r="C289" s="86"/>
      <c r="D289" s="87"/>
      <c r="E289" s="87"/>
      <c r="F289" s="87"/>
      <c r="G289" s="87"/>
      <c r="H289" s="87"/>
      <c r="I289" s="87"/>
      <c r="J289" s="87"/>
      <c r="K289" s="87"/>
      <c r="L289" s="87"/>
      <c r="M289" s="87"/>
      <c r="N289" s="87"/>
      <c r="O289" s="87"/>
      <c r="P289" s="88"/>
    </row>
    <row r="290" spans="1:16">
      <c r="A290" s="85"/>
      <c r="B290" s="86"/>
      <c r="C290" s="86"/>
      <c r="D290" s="87"/>
      <c r="E290" s="87"/>
      <c r="F290" s="87"/>
      <c r="G290" s="87"/>
      <c r="H290" s="87"/>
      <c r="I290" s="87"/>
      <c r="J290" s="87"/>
      <c r="K290" s="87"/>
      <c r="L290" s="87"/>
      <c r="M290" s="87"/>
      <c r="N290" s="87"/>
      <c r="O290" s="87"/>
      <c r="P290" s="88"/>
    </row>
    <row r="291" spans="1:16">
      <c r="A291" s="85"/>
      <c r="B291" s="86"/>
      <c r="C291" s="86"/>
      <c r="D291" s="87"/>
      <c r="E291" s="87"/>
      <c r="F291" s="87"/>
      <c r="G291" s="87"/>
      <c r="H291" s="87"/>
      <c r="I291" s="87"/>
      <c r="J291" s="87"/>
      <c r="K291" s="87"/>
      <c r="L291" s="87"/>
      <c r="M291" s="87"/>
      <c r="N291" s="87"/>
      <c r="O291" s="87"/>
      <c r="P291" s="88"/>
    </row>
    <row r="292" spans="1:16">
      <c r="A292" s="85"/>
      <c r="B292" s="86"/>
      <c r="C292" s="86"/>
      <c r="D292" s="87"/>
      <c r="E292" s="87"/>
      <c r="F292" s="87"/>
      <c r="G292" s="87"/>
      <c r="H292" s="87"/>
      <c r="I292" s="87"/>
      <c r="J292" s="87"/>
      <c r="K292" s="87"/>
      <c r="L292" s="87"/>
      <c r="M292" s="87"/>
      <c r="N292" s="87"/>
      <c r="O292" s="87"/>
      <c r="P292" s="88"/>
    </row>
    <row r="293" spans="1:16">
      <c r="A293" s="85"/>
      <c r="B293" s="86"/>
      <c r="C293" s="86"/>
      <c r="D293" s="87"/>
      <c r="E293" s="87"/>
      <c r="F293" s="87"/>
      <c r="G293" s="87"/>
      <c r="H293" s="87"/>
      <c r="I293" s="87"/>
      <c r="J293" s="87"/>
      <c r="K293" s="87"/>
      <c r="L293" s="87"/>
      <c r="M293" s="87"/>
      <c r="N293" s="87"/>
      <c r="O293" s="87"/>
      <c r="P293" s="88"/>
    </row>
    <row r="294" spans="1:16">
      <c r="A294" s="85"/>
      <c r="B294" s="86"/>
      <c r="C294" s="86"/>
      <c r="D294" s="87"/>
      <c r="E294" s="87"/>
      <c r="F294" s="87"/>
      <c r="G294" s="87"/>
      <c r="H294" s="87"/>
      <c r="I294" s="87"/>
      <c r="J294" s="87"/>
      <c r="K294" s="87"/>
      <c r="L294" s="87"/>
      <c r="M294" s="87"/>
      <c r="N294" s="87"/>
      <c r="O294" s="87"/>
      <c r="P294" s="88"/>
    </row>
    <row r="295" spans="1:16">
      <c r="A295" s="85"/>
      <c r="B295" s="86"/>
      <c r="C295" s="86"/>
      <c r="D295" s="87"/>
      <c r="E295" s="87"/>
      <c r="F295" s="87"/>
      <c r="G295" s="87"/>
      <c r="H295" s="87"/>
      <c r="I295" s="87"/>
      <c r="J295" s="87"/>
      <c r="K295" s="87"/>
      <c r="L295" s="87"/>
      <c r="M295" s="87"/>
      <c r="N295" s="87"/>
      <c r="O295" s="87"/>
      <c r="P295" s="88"/>
    </row>
  </sheetData>
  <sheetProtection formatCells="0" formatColumns="0" formatRows="0" insertColumns="0"/>
  <mergeCells count="1">
    <mergeCell ref="C3:C42"/>
  </mergeCell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G76"/>
  <sheetViews>
    <sheetView showGridLines="0" topLeftCell="A49" workbookViewId="0">
      <selection activeCell="A69" sqref="A69:F74"/>
    </sheetView>
  </sheetViews>
  <sheetFormatPr baseColWidth="10" defaultColWidth="12.140625" defaultRowHeight="15" x14ac:dyDescent="0"/>
  <cols>
    <col min="1" max="6" width="12.140625" style="29"/>
    <col min="7" max="7" width="14.140625" style="29" customWidth="1"/>
    <col min="8" max="16384" width="12.140625" style="29"/>
  </cols>
  <sheetData>
    <row r="1" spans="1:7">
      <c r="A1" s="26" t="s">
        <v>92</v>
      </c>
      <c r="B1" s="27"/>
      <c r="C1" s="27"/>
      <c r="D1" s="27"/>
      <c r="E1" s="27"/>
      <c r="F1" s="27"/>
      <c r="G1" s="28"/>
    </row>
    <row r="2" spans="1:7">
      <c r="A2" s="30"/>
      <c r="B2" s="31"/>
      <c r="C2" s="32"/>
      <c r="D2" s="33" t="s">
        <v>57</v>
      </c>
      <c r="E2" s="32"/>
      <c r="F2" s="34"/>
      <c r="G2" s="35"/>
    </row>
    <row r="3" spans="1:7">
      <c r="A3" s="36" t="s">
        <v>58</v>
      </c>
      <c r="B3" s="37" t="s">
        <v>87</v>
      </c>
      <c r="C3" s="38" t="s">
        <v>88</v>
      </c>
      <c r="D3" s="38" t="s">
        <v>89</v>
      </c>
      <c r="E3" s="38" t="s">
        <v>90</v>
      </c>
      <c r="F3" s="38" t="s">
        <v>173</v>
      </c>
      <c r="G3" s="39" t="s">
        <v>174</v>
      </c>
    </row>
    <row r="4" spans="1:7">
      <c r="A4" s="40">
        <v>1</v>
      </c>
      <c r="B4" s="41">
        <v>141011</v>
      </c>
      <c r="C4" s="42">
        <v>143641</v>
      </c>
      <c r="D4" s="42">
        <v>145461</v>
      </c>
      <c r="E4" s="42">
        <v>148092</v>
      </c>
      <c r="F4" s="42">
        <v>149912</v>
      </c>
      <c r="G4" s="43">
        <v>131168.56</v>
      </c>
    </row>
    <row r="5" spans="1:7">
      <c r="A5" s="40">
        <v>2</v>
      </c>
      <c r="B5" s="41">
        <v>143176</v>
      </c>
      <c r="C5" s="42">
        <v>145871</v>
      </c>
      <c r="D5" s="42">
        <v>147736</v>
      </c>
      <c r="E5" s="42">
        <v>150429</v>
      </c>
      <c r="F5" s="42">
        <v>152295</v>
      </c>
      <c r="G5" s="43">
        <v>133198.04</v>
      </c>
    </row>
    <row r="6" spans="1:7">
      <c r="A6" s="40">
        <v>3</v>
      </c>
      <c r="B6" s="41">
        <v>145401</v>
      </c>
      <c r="C6" s="42">
        <v>148160</v>
      </c>
      <c r="D6" s="42">
        <v>150071</v>
      </c>
      <c r="E6" s="42">
        <v>152830</v>
      </c>
      <c r="F6" s="42">
        <v>154742</v>
      </c>
      <c r="G6" s="43">
        <v>135282.59</v>
      </c>
    </row>
    <row r="7" spans="1:7">
      <c r="A7" s="40">
        <v>4</v>
      </c>
      <c r="B7" s="41">
        <v>147687</v>
      </c>
      <c r="C7" s="42">
        <v>150515</v>
      </c>
      <c r="D7" s="42">
        <v>152473</v>
      </c>
      <c r="E7" s="42">
        <v>155300</v>
      </c>
      <c r="F7" s="42">
        <v>157257</v>
      </c>
      <c r="G7" s="43">
        <v>137424.97</v>
      </c>
    </row>
    <row r="8" spans="1:7">
      <c r="A8" s="40">
        <v>5</v>
      </c>
      <c r="B8" s="41">
        <v>150035</v>
      </c>
      <c r="C8" s="42">
        <v>152932</v>
      </c>
      <c r="D8" s="42">
        <v>154939</v>
      </c>
      <c r="E8" s="42">
        <v>157836</v>
      </c>
      <c r="F8" s="42">
        <v>159841</v>
      </c>
      <c r="G8" s="43">
        <v>139625.18</v>
      </c>
    </row>
    <row r="9" spans="1:7">
      <c r="A9" s="40">
        <v>6</v>
      </c>
      <c r="B9" s="41">
        <v>152450</v>
      </c>
      <c r="C9" s="42">
        <v>155418</v>
      </c>
      <c r="D9" s="42">
        <v>157474</v>
      </c>
      <c r="E9" s="42">
        <v>160442</v>
      </c>
      <c r="F9" s="42">
        <v>162497</v>
      </c>
      <c r="G9" s="43">
        <v>141887.34</v>
      </c>
    </row>
    <row r="10" spans="1:7">
      <c r="A10" s="40">
        <v>7</v>
      </c>
      <c r="B10" s="41">
        <v>154928</v>
      </c>
      <c r="C10" s="42">
        <v>157970</v>
      </c>
      <c r="D10" s="42">
        <v>160076</v>
      </c>
      <c r="E10" s="42">
        <v>163118</v>
      </c>
      <c r="F10" s="42">
        <v>165223</v>
      </c>
      <c r="G10" s="43">
        <v>144210.09</v>
      </c>
    </row>
    <row r="11" spans="1:7">
      <c r="A11" s="40">
        <v>8</v>
      </c>
      <c r="B11" s="41">
        <v>157475</v>
      </c>
      <c r="C11" s="42">
        <v>160592</v>
      </c>
      <c r="D11" s="42">
        <v>162751</v>
      </c>
      <c r="E11" s="42">
        <v>165868</v>
      </c>
      <c r="F11" s="42">
        <v>168027</v>
      </c>
      <c r="G11" s="43">
        <v>146597.54999999999</v>
      </c>
    </row>
    <row r="12" spans="1:7">
      <c r="A12" s="40">
        <v>9</v>
      </c>
      <c r="B12" s="41">
        <v>160094</v>
      </c>
      <c r="C12" s="42">
        <v>163288</v>
      </c>
      <c r="D12" s="42">
        <v>165501</v>
      </c>
      <c r="E12" s="42">
        <v>168695</v>
      </c>
      <c r="F12" s="42">
        <v>170908</v>
      </c>
      <c r="G12" s="43">
        <v>149051.1</v>
      </c>
    </row>
    <row r="13" spans="1:7">
      <c r="A13" s="40">
        <v>10</v>
      </c>
      <c r="B13" s="41">
        <v>162783</v>
      </c>
      <c r="C13" s="42">
        <v>166058</v>
      </c>
      <c r="D13" s="42">
        <v>168325</v>
      </c>
      <c r="E13" s="42">
        <v>171600</v>
      </c>
      <c r="F13" s="42">
        <v>173868</v>
      </c>
      <c r="G13" s="43">
        <v>151572.10999999999</v>
      </c>
    </row>
    <row r="14" spans="1:7">
      <c r="A14" s="40">
        <v>11</v>
      </c>
      <c r="B14" s="41">
        <v>164905</v>
      </c>
      <c r="C14" s="42">
        <v>168261</v>
      </c>
      <c r="D14" s="42">
        <v>170585</v>
      </c>
      <c r="E14" s="42">
        <v>173941</v>
      </c>
      <c r="F14" s="42">
        <v>176265</v>
      </c>
      <c r="G14" s="43">
        <v>154161.97</v>
      </c>
    </row>
    <row r="15" spans="1:7">
      <c r="A15" s="40">
        <v>12</v>
      </c>
      <c r="B15" s="41">
        <v>167744</v>
      </c>
      <c r="C15" s="42">
        <v>171185</v>
      </c>
      <c r="D15" s="42">
        <v>173568</v>
      </c>
      <c r="E15" s="42">
        <v>177008</v>
      </c>
      <c r="F15" s="42">
        <v>179390</v>
      </c>
      <c r="G15" s="43">
        <v>156823.42000000001</v>
      </c>
    </row>
    <row r="16" spans="1:7">
      <c r="A16" s="40">
        <v>13</v>
      </c>
      <c r="B16" s="41">
        <v>170663</v>
      </c>
      <c r="C16" s="42">
        <v>174190</v>
      </c>
      <c r="D16" s="42">
        <v>176632</v>
      </c>
      <c r="E16" s="42">
        <v>180160</v>
      </c>
      <c r="F16" s="42">
        <v>182601</v>
      </c>
      <c r="G16" s="43">
        <v>159557.85</v>
      </c>
    </row>
    <row r="17" spans="1:7">
      <c r="A17" s="40">
        <v>14</v>
      </c>
      <c r="B17" s="41">
        <v>173661</v>
      </c>
      <c r="C17" s="42">
        <v>177278</v>
      </c>
      <c r="D17" s="42">
        <v>179781</v>
      </c>
      <c r="E17" s="42">
        <v>183397</v>
      </c>
      <c r="F17" s="42">
        <v>185900</v>
      </c>
      <c r="G17" s="43">
        <v>162368</v>
      </c>
    </row>
    <row r="18" spans="1:7">
      <c r="A18" s="40">
        <v>15</v>
      </c>
      <c r="B18" s="41">
        <v>176742</v>
      </c>
      <c r="C18" s="42">
        <v>180449</v>
      </c>
      <c r="D18" s="42">
        <v>183015</v>
      </c>
      <c r="E18" s="42">
        <v>186723</v>
      </c>
      <c r="F18" s="42">
        <v>189289</v>
      </c>
      <c r="G18" s="43">
        <v>165253.88</v>
      </c>
    </row>
    <row r="19" spans="1:7">
      <c r="A19" s="40">
        <v>16</v>
      </c>
      <c r="B19" s="41">
        <v>179103</v>
      </c>
      <c r="C19" s="42">
        <v>182904</v>
      </c>
      <c r="D19" s="42">
        <v>185536</v>
      </c>
      <c r="E19" s="42">
        <v>189337</v>
      </c>
      <c r="F19" s="42">
        <v>191969</v>
      </c>
      <c r="G19" s="43">
        <v>168220.99</v>
      </c>
    </row>
    <row r="20" spans="1:7">
      <c r="A20" s="40">
        <v>17</v>
      </c>
      <c r="B20" s="41">
        <v>182355</v>
      </c>
      <c r="C20" s="42">
        <v>186253</v>
      </c>
      <c r="D20" s="42">
        <v>188951</v>
      </c>
      <c r="E20" s="42">
        <v>192849</v>
      </c>
      <c r="F20" s="42">
        <v>195546</v>
      </c>
      <c r="G20" s="43">
        <v>171267.96</v>
      </c>
    </row>
    <row r="21" spans="1:7">
      <c r="A21" s="40">
        <v>18</v>
      </c>
      <c r="B21" s="41">
        <v>185698</v>
      </c>
      <c r="C21" s="42">
        <v>189695</v>
      </c>
      <c r="D21" s="42">
        <v>192462</v>
      </c>
      <c r="E21" s="42">
        <v>196458</v>
      </c>
      <c r="F21" s="42">
        <v>199224</v>
      </c>
      <c r="G21" s="43">
        <v>174400.3</v>
      </c>
    </row>
    <row r="22" spans="1:7">
      <c r="A22" s="40">
        <v>19</v>
      </c>
      <c r="B22" s="41">
        <v>188193</v>
      </c>
      <c r="C22" s="42">
        <v>192292</v>
      </c>
      <c r="D22" s="42">
        <v>195128</v>
      </c>
      <c r="E22" s="42">
        <v>199227</v>
      </c>
      <c r="F22" s="42">
        <v>202065</v>
      </c>
      <c r="G22" s="43">
        <v>177618</v>
      </c>
    </row>
    <row r="23" spans="1:7">
      <c r="A23" s="40">
        <v>20</v>
      </c>
      <c r="B23" s="41">
        <v>190784</v>
      </c>
      <c r="C23" s="42">
        <v>194986</v>
      </c>
      <c r="D23" s="42">
        <v>197896</v>
      </c>
      <c r="E23" s="42">
        <v>202098</v>
      </c>
      <c r="F23" s="42">
        <v>205007</v>
      </c>
      <c r="G23" s="43">
        <v>180923.82</v>
      </c>
    </row>
    <row r="24" spans="1:7">
      <c r="A24" s="40">
        <v>21</v>
      </c>
      <c r="B24" s="41">
        <v>193942</v>
      </c>
      <c r="C24" s="42">
        <v>198252</v>
      </c>
      <c r="D24" s="42">
        <v>201236</v>
      </c>
      <c r="E24" s="42">
        <v>205546</v>
      </c>
      <c r="F24" s="42">
        <v>208530</v>
      </c>
      <c r="G24" s="43">
        <v>184321.88</v>
      </c>
    </row>
    <row r="25" spans="1:7">
      <c r="A25" s="40">
        <v>22</v>
      </c>
      <c r="B25" s="41">
        <v>196868</v>
      </c>
      <c r="C25" s="42">
        <v>201178</v>
      </c>
      <c r="D25" s="42">
        <v>204162</v>
      </c>
      <c r="E25" s="42">
        <v>208472</v>
      </c>
      <c r="F25" s="42">
        <v>211456</v>
      </c>
      <c r="G25" s="43">
        <v>187717.13</v>
      </c>
    </row>
    <row r="26" spans="1:7">
      <c r="A26" s="40">
        <v>23</v>
      </c>
      <c r="B26" s="41">
        <v>200004</v>
      </c>
      <c r="C26" s="42">
        <v>204194</v>
      </c>
      <c r="D26" s="42">
        <v>207097</v>
      </c>
      <c r="E26" s="42">
        <v>211289</v>
      </c>
      <c r="F26" s="42">
        <v>214190</v>
      </c>
      <c r="G26" s="43">
        <v>191104.14</v>
      </c>
    </row>
    <row r="27" spans="1:7">
      <c r="A27" s="40">
        <v>24</v>
      </c>
      <c r="B27" s="41">
        <v>203235</v>
      </c>
      <c r="C27" s="42">
        <v>207308</v>
      </c>
      <c r="D27" s="42">
        <v>210128</v>
      </c>
      <c r="E27" s="42">
        <v>214201</v>
      </c>
      <c r="F27" s="42">
        <v>217021</v>
      </c>
      <c r="G27" s="43">
        <v>194587.44</v>
      </c>
    </row>
    <row r="28" spans="1:7">
      <c r="A28" s="40">
        <v>25</v>
      </c>
      <c r="B28" s="41">
        <v>206538</v>
      </c>
      <c r="C28" s="42">
        <v>210484</v>
      </c>
      <c r="D28" s="42">
        <v>213216</v>
      </c>
      <c r="E28" s="42">
        <v>217162</v>
      </c>
      <c r="F28" s="42">
        <v>219894</v>
      </c>
      <c r="G28" s="43">
        <v>198161</v>
      </c>
    </row>
    <row r="29" spans="1:7">
      <c r="A29" s="40">
        <v>26</v>
      </c>
      <c r="B29" s="41">
        <v>209918</v>
      </c>
      <c r="C29" s="42">
        <v>213727</v>
      </c>
      <c r="D29" s="42">
        <v>216364</v>
      </c>
      <c r="E29" s="42">
        <v>220174</v>
      </c>
      <c r="F29" s="42">
        <v>222811</v>
      </c>
      <c r="G29" s="43">
        <v>201828.54</v>
      </c>
    </row>
    <row r="30" spans="1:7">
      <c r="A30" s="40">
        <v>27</v>
      </c>
      <c r="B30" s="41">
        <v>213370</v>
      </c>
      <c r="C30" s="42">
        <v>217033</v>
      </c>
      <c r="D30" s="42">
        <v>219570</v>
      </c>
      <c r="E30" s="42">
        <v>223233</v>
      </c>
      <c r="F30" s="42">
        <v>225770</v>
      </c>
      <c r="G30" s="43">
        <v>205591</v>
      </c>
    </row>
    <row r="31" spans="1:7">
      <c r="A31" s="40">
        <v>28</v>
      </c>
      <c r="B31" s="41">
        <v>216901</v>
      </c>
      <c r="C31" s="42">
        <v>220409</v>
      </c>
      <c r="D31" s="42">
        <v>222837</v>
      </c>
      <c r="E31" s="42">
        <v>226345</v>
      </c>
      <c r="F31" s="42">
        <v>228774</v>
      </c>
      <c r="G31" s="43">
        <v>209453.43</v>
      </c>
    </row>
    <row r="32" spans="1:7">
      <c r="A32" s="40">
        <v>29</v>
      </c>
      <c r="B32" s="41">
        <v>220510</v>
      </c>
      <c r="C32" s="42">
        <v>223852</v>
      </c>
      <c r="D32" s="42">
        <v>226166</v>
      </c>
      <c r="E32" s="42">
        <v>229508</v>
      </c>
      <c r="F32" s="42">
        <v>231821</v>
      </c>
      <c r="G32" s="43">
        <v>213415.37</v>
      </c>
    </row>
    <row r="33" spans="1:7">
      <c r="A33" s="40">
        <v>30</v>
      </c>
      <c r="B33" s="41">
        <v>224202</v>
      </c>
      <c r="C33" s="42">
        <v>227367</v>
      </c>
      <c r="D33" s="42">
        <v>229558</v>
      </c>
      <c r="E33" s="42">
        <v>232721</v>
      </c>
      <c r="F33" s="42">
        <v>234912</v>
      </c>
      <c r="G33" s="43">
        <v>217481.83</v>
      </c>
    </row>
    <row r="34" spans="1:7">
      <c r="A34" s="40">
        <v>31</v>
      </c>
      <c r="B34" s="41">
        <v>227973</v>
      </c>
      <c r="C34" s="42">
        <v>230949</v>
      </c>
      <c r="D34" s="42">
        <v>233011</v>
      </c>
      <c r="E34" s="42">
        <v>235987</v>
      </c>
      <c r="F34" s="42">
        <v>238048</v>
      </c>
      <c r="G34" s="43">
        <v>221653.7</v>
      </c>
    </row>
    <row r="35" spans="1:7">
      <c r="A35" s="40">
        <v>32</v>
      </c>
      <c r="B35" s="41">
        <v>231831</v>
      </c>
      <c r="C35" s="42">
        <v>234607</v>
      </c>
      <c r="D35" s="42">
        <v>236529</v>
      </c>
      <c r="E35" s="42">
        <v>239306</v>
      </c>
      <c r="F35" s="42">
        <v>241227</v>
      </c>
      <c r="G35" s="43">
        <v>225935.95</v>
      </c>
    </row>
    <row r="36" spans="1:7">
      <c r="A36" s="40">
        <v>33</v>
      </c>
      <c r="B36" s="41">
        <v>235771</v>
      </c>
      <c r="C36" s="42">
        <v>238334</v>
      </c>
      <c r="D36" s="42">
        <v>240110</v>
      </c>
      <c r="E36" s="42">
        <v>242674</v>
      </c>
      <c r="F36" s="42">
        <v>244449</v>
      </c>
      <c r="G36" s="43">
        <v>230328.08</v>
      </c>
    </row>
    <row r="37" spans="1:7">
      <c r="A37" s="40">
        <v>34</v>
      </c>
      <c r="B37" s="41">
        <v>239801</v>
      </c>
      <c r="C37" s="42">
        <v>242140</v>
      </c>
      <c r="D37" s="42">
        <v>243759</v>
      </c>
      <c r="E37" s="42">
        <v>246096</v>
      </c>
      <c r="F37" s="42">
        <v>247715</v>
      </c>
      <c r="G37" s="43">
        <v>234836.36</v>
      </c>
    </row>
    <row r="38" spans="1:7">
      <c r="A38" s="40">
        <v>35</v>
      </c>
      <c r="B38" s="41">
        <v>243921</v>
      </c>
      <c r="C38" s="42">
        <v>246021</v>
      </c>
      <c r="D38" s="42">
        <v>247474</v>
      </c>
      <c r="E38" s="42">
        <v>249574</v>
      </c>
      <c r="F38" s="42">
        <v>251027</v>
      </c>
      <c r="G38" s="43">
        <v>239462.99</v>
      </c>
    </row>
    <row r="39" spans="1:7">
      <c r="A39" s="40">
        <v>36</v>
      </c>
      <c r="B39" s="41">
        <v>248130</v>
      </c>
      <c r="C39" s="42">
        <v>249976</v>
      </c>
      <c r="D39" s="42">
        <v>251255</v>
      </c>
      <c r="E39" s="42">
        <v>253102</v>
      </c>
      <c r="F39" s="42">
        <v>254380</v>
      </c>
      <c r="G39" s="43">
        <v>244208.78</v>
      </c>
    </row>
    <row r="40" spans="1:7">
      <c r="A40" s="40">
        <v>37</v>
      </c>
      <c r="B40" s="41">
        <v>252432</v>
      </c>
      <c r="C40" s="42">
        <v>254012</v>
      </c>
      <c r="D40" s="42">
        <v>255104</v>
      </c>
      <c r="E40" s="42">
        <v>256684</v>
      </c>
      <c r="F40" s="42">
        <v>257778</v>
      </c>
      <c r="G40" s="43">
        <v>249078.59</v>
      </c>
    </row>
    <row r="41" spans="1:7">
      <c r="A41" s="40">
        <v>38</v>
      </c>
      <c r="B41" s="41">
        <v>256976</v>
      </c>
      <c r="C41" s="42">
        <v>258297</v>
      </c>
      <c r="D41" s="42">
        <v>259212</v>
      </c>
      <c r="E41" s="42">
        <v>260534</v>
      </c>
      <c r="F41" s="42">
        <v>261450</v>
      </c>
      <c r="G41" s="43">
        <v>254168.8</v>
      </c>
    </row>
    <row r="42" spans="1:7">
      <c r="A42" s="40">
        <v>39</v>
      </c>
      <c r="B42" s="41">
        <v>261564</v>
      </c>
      <c r="C42" s="42">
        <v>262582</v>
      </c>
      <c r="D42" s="42">
        <v>263287</v>
      </c>
      <c r="E42" s="42">
        <v>264304</v>
      </c>
      <c r="F42" s="42">
        <v>265009</v>
      </c>
      <c r="G42" s="43">
        <v>259403.21</v>
      </c>
    </row>
    <row r="43" spans="1:7">
      <c r="A43" s="40">
        <v>40</v>
      </c>
      <c r="B43" s="41">
        <v>266252</v>
      </c>
      <c r="C43" s="42">
        <v>266948</v>
      </c>
      <c r="D43" s="42">
        <v>267430</v>
      </c>
      <c r="E43" s="42">
        <v>268126</v>
      </c>
      <c r="F43" s="42">
        <v>268608</v>
      </c>
      <c r="G43" s="43">
        <v>264773.06</v>
      </c>
    </row>
    <row r="44" spans="1:7">
      <c r="A44" s="40">
        <v>41</v>
      </c>
      <c r="B44" s="41">
        <v>271043</v>
      </c>
      <c r="C44" s="42">
        <v>271399</v>
      </c>
      <c r="D44" s="42">
        <v>271647</v>
      </c>
      <c r="E44" s="42">
        <v>272004</v>
      </c>
      <c r="F44" s="42">
        <v>272251</v>
      </c>
      <c r="G44" s="43">
        <v>270283.09000000003</v>
      </c>
    </row>
    <row r="45" spans="1:7">
      <c r="A45" s="40">
        <v>42</v>
      </c>
      <c r="B45" s="41">
        <v>275937</v>
      </c>
      <c r="C45" s="42">
        <v>275937</v>
      </c>
      <c r="D45" s="42">
        <v>275937</v>
      </c>
      <c r="E45" s="42">
        <v>275937</v>
      </c>
      <c r="F45" s="42">
        <v>275937</v>
      </c>
      <c r="G45" s="43">
        <v>275936.7</v>
      </c>
    </row>
    <row r="46" spans="1:7">
      <c r="A46" s="40">
        <v>43</v>
      </c>
      <c r="B46" s="41">
        <v>282063</v>
      </c>
      <c r="C46" s="42">
        <v>282063</v>
      </c>
      <c r="D46" s="42">
        <v>282063</v>
      </c>
      <c r="E46" s="42">
        <v>282063</v>
      </c>
      <c r="F46" s="42">
        <v>282063</v>
      </c>
      <c r="G46" s="43">
        <v>282062.88</v>
      </c>
    </row>
    <row r="47" spans="1:7">
      <c r="A47" s="40">
        <v>44</v>
      </c>
      <c r="B47" s="41">
        <v>288356</v>
      </c>
      <c r="C47" s="42">
        <v>288356</v>
      </c>
      <c r="D47" s="42">
        <v>288356</v>
      </c>
      <c r="E47" s="42">
        <v>288356</v>
      </c>
      <c r="F47" s="42">
        <v>288356</v>
      </c>
      <c r="G47" s="43">
        <v>288356.47999999998</v>
      </c>
    </row>
    <row r="48" spans="1:7">
      <c r="A48" s="40">
        <v>45</v>
      </c>
      <c r="B48" s="41">
        <v>294824</v>
      </c>
      <c r="C48" s="42">
        <v>294824</v>
      </c>
      <c r="D48" s="42">
        <v>294824</v>
      </c>
      <c r="E48" s="42">
        <v>294824</v>
      </c>
      <c r="F48" s="42">
        <v>294824</v>
      </c>
      <c r="G48" s="43">
        <v>294824.2</v>
      </c>
    </row>
    <row r="49" spans="1:7">
      <c r="A49" s="40">
        <v>46</v>
      </c>
      <c r="B49" s="41">
        <v>301470</v>
      </c>
      <c r="C49" s="42">
        <v>301470</v>
      </c>
      <c r="D49" s="42">
        <v>301470</v>
      </c>
      <c r="E49" s="42">
        <v>301470</v>
      </c>
      <c r="F49" s="42">
        <v>301470</v>
      </c>
      <c r="G49" s="43">
        <v>301470.05</v>
      </c>
    </row>
    <row r="50" spans="1:7">
      <c r="A50" s="40">
        <v>47</v>
      </c>
      <c r="B50" s="41">
        <v>315314</v>
      </c>
      <c r="C50" s="42">
        <v>315314</v>
      </c>
      <c r="D50" s="42">
        <v>315314</v>
      </c>
      <c r="E50" s="42">
        <v>315314</v>
      </c>
      <c r="F50" s="42">
        <v>315314</v>
      </c>
      <c r="G50" s="43">
        <v>315313.56</v>
      </c>
    </row>
    <row r="51" spans="1:7">
      <c r="A51" s="40">
        <v>48</v>
      </c>
      <c r="B51" s="41">
        <v>336492</v>
      </c>
      <c r="C51" s="42">
        <v>336492</v>
      </c>
      <c r="D51" s="42">
        <v>336492</v>
      </c>
      <c r="E51" s="42">
        <v>336492</v>
      </c>
      <c r="F51" s="42">
        <v>336492</v>
      </c>
      <c r="G51" s="43">
        <v>336491.35</v>
      </c>
    </row>
    <row r="52" spans="1:7">
      <c r="A52" s="40">
        <v>49</v>
      </c>
      <c r="B52" s="41">
        <v>359957</v>
      </c>
      <c r="C52" s="42">
        <v>359957</v>
      </c>
      <c r="D52" s="42">
        <v>359957</v>
      </c>
      <c r="E52" s="42">
        <v>359957</v>
      </c>
      <c r="F52" s="42">
        <v>359957</v>
      </c>
      <c r="G52" s="43">
        <v>359956.74</v>
      </c>
    </row>
    <row r="53" spans="1:7">
      <c r="A53" s="40">
        <v>50</v>
      </c>
      <c r="B53" s="41">
        <v>397581</v>
      </c>
      <c r="C53" s="42">
        <v>397581</v>
      </c>
      <c r="D53" s="42">
        <v>397581</v>
      </c>
      <c r="E53" s="42">
        <v>397581</v>
      </c>
      <c r="F53" s="42">
        <v>397581</v>
      </c>
      <c r="G53" s="43">
        <v>397581.73</v>
      </c>
    </row>
    <row r="54" spans="1:7">
      <c r="A54" s="40">
        <v>51</v>
      </c>
      <c r="B54" s="41">
        <v>444240</v>
      </c>
      <c r="C54" s="42">
        <v>444240</v>
      </c>
      <c r="D54" s="42">
        <v>444240</v>
      </c>
      <c r="E54" s="42">
        <v>444240</v>
      </c>
      <c r="F54" s="42">
        <v>444240</v>
      </c>
      <c r="G54" s="43">
        <v>444240.63</v>
      </c>
    </row>
    <row r="55" spans="1:7">
      <c r="A55" s="40">
        <v>52</v>
      </c>
      <c r="B55" s="41">
        <v>484035</v>
      </c>
      <c r="C55" s="42">
        <v>484035</v>
      </c>
      <c r="D55" s="42">
        <v>484035</v>
      </c>
      <c r="E55" s="42">
        <v>484035</v>
      </c>
      <c r="F55" s="42">
        <v>484035</v>
      </c>
      <c r="G55" s="43">
        <v>484035.37</v>
      </c>
    </row>
    <row r="56" spans="1:7">
      <c r="A56" s="40">
        <v>53</v>
      </c>
      <c r="B56" s="41">
        <v>538581</v>
      </c>
      <c r="C56" s="42">
        <v>538581</v>
      </c>
      <c r="D56" s="42">
        <v>538581</v>
      </c>
      <c r="E56" s="42">
        <v>538581</v>
      </c>
      <c r="F56" s="42">
        <v>538581</v>
      </c>
      <c r="G56" s="43">
        <v>538581.69999999995</v>
      </c>
    </row>
    <row r="57" spans="1:7">
      <c r="A57" s="40">
        <v>54</v>
      </c>
      <c r="B57" s="41">
        <v>604096</v>
      </c>
      <c r="C57" s="42">
        <v>604096</v>
      </c>
      <c r="D57" s="42">
        <v>604096</v>
      </c>
      <c r="E57" s="42">
        <v>604096</v>
      </c>
      <c r="F57" s="42">
        <v>604096</v>
      </c>
      <c r="G57" s="43">
        <v>604095.94999999995</v>
      </c>
    </row>
    <row r="58" spans="1:7">
      <c r="A58" s="44">
        <v>55</v>
      </c>
      <c r="B58" s="45">
        <v>679129</v>
      </c>
      <c r="C58" s="46">
        <v>679129</v>
      </c>
      <c r="D58" s="46">
        <v>679129</v>
      </c>
      <c r="E58" s="46">
        <v>679129</v>
      </c>
      <c r="F58" s="46">
        <v>679129</v>
      </c>
      <c r="G58" s="47">
        <v>679128.96</v>
      </c>
    </row>
    <row r="59" spans="1:7">
      <c r="A59" s="40" t="s">
        <v>131</v>
      </c>
      <c r="B59" s="41">
        <v>213400</v>
      </c>
      <c r="C59" s="48">
        <v>213400</v>
      </c>
      <c r="D59" s="48">
        <v>213400</v>
      </c>
      <c r="E59" s="48">
        <v>213400</v>
      </c>
      <c r="F59" s="48">
        <v>213400</v>
      </c>
      <c r="G59" s="61">
        <v>213400</v>
      </c>
    </row>
    <row r="60" spans="1:7">
      <c r="A60" s="40" t="s">
        <v>130</v>
      </c>
      <c r="B60" s="41">
        <v>227400</v>
      </c>
      <c r="C60" s="42">
        <v>227400</v>
      </c>
      <c r="D60" s="42">
        <v>227400</v>
      </c>
      <c r="E60" s="42">
        <v>227400</v>
      </c>
      <c r="F60" s="42">
        <v>227400</v>
      </c>
      <c r="G60" s="62">
        <v>227400</v>
      </c>
    </row>
    <row r="61" spans="1:7">
      <c r="A61" s="40" t="s">
        <v>128</v>
      </c>
      <c r="B61" s="41">
        <v>248500</v>
      </c>
      <c r="C61" s="42">
        <v>248500</v>
      </c>
      <c r="D61" s="42">
        <v>248500</v>
      </c>
      <c r="E61" s="42">
        <v>248500</v>
      </c>
      <c r="F61" s="42">
        <v>248500</v>
      </c>
      <c r="G61" s="62">
        <v>248500</v>
      </c>
    </row>
    <row r="62" spans="1:7">
      <c r="A62" s="40" t="s">
        <v>175</v>
      </c>
      <c r="B62" s="41">
        <v>203400</v>
      </c>
      <c r="C62" s="42">
        <v>203400</v>
      </c>
      <c r="D62" s="42">
        <v>203400</v>
      </c>
      <c r="E62" s="42">
        <v>203400</v>
      </c>
      <c r="F62" s="42">
        <v>203400</v>
      </c>
      <c r="G62" s="62">
        <v>203400</v>
      </c>
    </row>
    <row r="63" spans="1:7">
      <c r="A63" s="40" t="s">
        <v>132</v>
      </c>
      <c r="B63" s="41">
        <v>213400</v>
      </c>
      <c r="C63" s="42">
        <v>213400</v>
      </c>
      <c r="D63" s="42">
        <v>213400</v>
      </c>
      <c r="E63" s="42">
        <v>213400</v>
      </c>
      <c r="F63" s="42">
        <v>213400</v>
      </c>
      <c r="G63" s="62">
        <v>213400</v>
      </c>
    </row>
    <row r="64" spans="1:7">
      <c r="A64" s="44" t="s">
        <v>129</v>
      </c>
      <c r="B64" s="45">
        <v>221500</v>
      </c>
      <c r="C64" s="46">
        <v>221500</v>
      </c>
      <c r="D64" s="46">
        <v>221500</v>
      </c>
      <c r="E64" s="46">
        <v>221500</v>
      </c>
      <c r="F64" s="46">
        <v>221500</v>
      </c>
      <c r="G64" s="63">
        <v>221500</v>
      </c>
    </row>
    <row r="65" spans="1:7">
      <c r="A65" s="52"/>
      <c r="B65" s="52"/>
      <c r="C65" s="52"/>
      <c r="D65" s="52"/>
      <c r="E65" s="52"/>
      <c r="F65" s="52"/>
      <c r="G65" s="52"/>
    </row>
    <row r="66" spans="1:7">
      <c r="A66" s="53" t="s">
        <v>59</v>
      </c>
      <c r="B66" s="52"/>
      <c r="C66" s="52" t="s">
        <v>127</v>
      </c>
      <c r="D66" s="52"/>
      <c r="E66" s="52"/>
      <c r="F66" s="52"/>
      <c r="G66" s="52"/>
    </row>
    <row r="67" spans="1:7">
      <c r="A67" s="30"/>
      <c r="B67" s="31"/>
      <c r="C67" s="32"/>
      <c r="D67" s="33" t="s">
        <v>57</v>
      </c>
      <c r="E67" s="32"/>
      <c r="F67" s="54"/>
      <c r="G67" s="55"/>
    </row>
    <row r="68" spans="1:7">
      <c r="A68" s="36" t="s">
        <v>58</v>
      </c>
      <c r="B68" s="37" t="s">
        <v>87</v>
      </c>
      <c r="C68" s="38" t="s">
        <v>88</v>
      </c>
      <c r="D68" s="38" t="s">
        <v>89</v>
      </c>
      <c r="E68" s="38" t="s">
        <v>90</v>
      </c>
      <c r="F68" s="56" t="s">
        <v>173</v>
      </c>
      <c r="G68" s="57"/>
    </row>
    <row r="69" spans="1:7">
      <c r="A69" s="40" t="s">
        <v>131</v>
      </c>
      <c r="B69" s="41">
        <v>0</v>
      </c>
      <c r="C69" s="48">
        <v>3900</v>
      </c>
      <c r="D69" s="48">
        <v>6900</v>
      </c>
      <c r="E69" s="48">
        <v>10800</v>
      </c>
      <c r="F69" s="49">
        <v>13800</v>
      </c>
      <c r="G69" s="52"/>
    </row>
    <row r="70" spans="1:7">
      <c r="A70" s="40" t="s">
        <v>130</v>
      </c>
      <c r="B70" s="41">
        <v>0</v>
      </c>
      <c r="C70" s="42">
        <v>3300</v>
      </c>
      <c r="D70" s="42">
        <v>5700</v>
      </c>
      <c r="E70" s="42">
        <v>9000</v>
      </c>
      <c r="F70" s="50">
        <v>11400</v>
      </c>
      <c r="G70" s="52"/>
    </row>
    <row r="71" spans="1:7">
      <c r="A71" s="40" t="s">
        <v>128</v>
      </c>
      <c r="B71" s="41">
        <v>0</v>
      </c>
      <c r="C71" s="42">
        <v>2100</v>
      </c>
      <c r="D71" s="42">
        <v>3900</v>
      </c>
      <c r="E71" s="42">
        <v>6000</v>
      </c>
      <c r="F71" s="50">
        <v>7500</v>
      </c>
      <c r="G71" s="52"/>
    </row>
    <row r="72" spans="1:7">
      <c r="A72" s="40" t="s">
        <v>175</v>
      </c>
      <c r="B72" s="41">
        <v>0</v>
      </c>
      <c r="C72" s="42">
        <v>4500</v>
      </c>
      <c r="D72" s="42">
        <v>7500</v>
      </c>
      <c r="E72" s="42">
        <v>12000</v>
      </c>
      <c r="F72" s="50">
        <v>15000</v>
      </c>
      <c r="G72" s="52"/>
    </row>
    <row r="73" spans="1:7">
      <c r="A73" s="40" t="s">
        <v>132</v>
      </c>
      <c r="B73" s="41">
        <v>0</v>
      </c>
      <c r="C73" s="42">
        <v>3900</v>
      </c>
      <c r="D73" s="42">
        <v>6900</v>
      </c>
      <c r="E73" s="42">
        <v>10800</v>
      </c>
      <c r="F73" s="50">
        <v>13800</v>
      </c>
      <c r="G73" s="52"/>
    </row>
    <row r="74" spans="1:7">
      <c r="A74" s="44" t="s">
        <v>129</v>
      </c>
      <c r="B74" s="45">
        <v>0</v>
      </c>
      <c r="C74" s="46">
        <v>3600</v>
      </c>
      <c r="D74" s="46">
        <v>6300</v>
      </c>
      <c r="E74" s="46">
        <v>9900</v>
      </c>
      <c r="F74" s="51">
        <v>12600</v>
      </c>
      <c r="G74" s="52"/>
    </row>
    <row r="76" spans="1:7">
      <c r="A76" s="29" t="s">
        <v>124</v>
      </c>
    </row>
  </sheetData>
  <sheetProtection sheet="1" objects="1" scenarios="1"/>
  <phoneticPr fontId="10"/>
  <printOptions horizontalCentered="1" verticalCentered="1" gridLinesSet="0"/>
  <pageMargins left="0.39370078740157483" right="0.39370078740157483" top="0.98425196850393704" bottom="0.98425196850393704" header="0.51181102362204722" footer="0.51181102362204722"/>
  <headerFooter>
    <oddHeader>&amp;L&amp;"Geneva,Fed"&amp;24LØNTABEL</oddHeader>
    <oddFooter>&amp;L&amp;"Geneva,Normal"FRISKOLERNES KONTOR, Prices Havevej 11, 5600 Fåborg&amp;R&amp;"Geneva,Normal"Ole Mikkelsen, friskolekonsulent</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pageSetUpPr fitToPage="1"/>
  </sheetPr>
  <dimension ref="A1:S73"/>
  <sheetViews>
    <sheetView showZeros="0" workbookViewId="0">
      <selection activeCell="C1" sqref="C1"/>
    </sheetView>
  </sheetViews>
  <sheetFormatPr baseColWidth="10" defaultRowHeight="12" x14ac:dyDescent="0"/>
  <cols>
    <col min="1" max="1" width="6" style="353" customWidth="1"/>
    <col min="2" max="2" width="3.42578125" style="353" customWidth="1"/>
    <col min="3" max="3" width="32" style="353" customWidth="1"/>
    <col min="4" max="4" width="12" style="353" bestFit="1" customWidth="1"/>
    <col min="5" max="5" width="11.28515625" style="353" bestFit="1" customWidth="1"/>
    <col min="6" max="16384" width="10.7109375" style="353"/>
  </cols>
  <sheetData>
    <row r="1" spans="1:19">
      <c r="A1" s="353" t="s">
        <v>291</v>
      </c>
      <c r="B1" s="365"/>
      <c r="C1" s="597" t="s">
        <v>292</v>
      </c>
      <c r="D1" s="353" t="s">
        <v>558</v>
      </c>
    </row>
    <row r="2" spans="1:19">
      <c r="D2" s="496" t="s">
        <v>303</v>
      </c>
      <c r="E2" s="496" t="s">
        <v>319</v>
      </c>
      <c r="F2" s="496" t="s">
        <v>321</v>
      </c>
      <c r="G2" s="496" t="s">
        <v>323</v>
      </c>
      <c r="H2" s="496" t="s">
        <v>325</v>
      </c>
      <c r="I2" s="496" t="s">
        <v>327</v>
      </c>
      <c r="J2" s="496" t="s">
        <v>329</v>
      </c>
      <c r="K2" s="496" t="s">
        <v>331</v>
      </c>
      <c r="L2" s="496" t="s">
        <v>333</v>
      </c>
      <c r="M2" s="496" t="s">
        <v>335</v>
      </c>
      <c r="N2" s="496" t="s">
        <v>337</v>
      </c>
      <c r="O2" s="496" t="s">
        <v>339</v>
      </c>
    </row>
    <row r="3" spans="1:19" ht="25" customHeight="1">
      <c r="A3" s="366">
        <v>1</v>
      </c>
      <c r="B3" s="368"/>
      <c r="C3" s="368" t="s">
        <v>296</v>
      </c>
      <c r="D3" s="369" t="str">
        <f t="shared" ref="D3:O9" ca="1" si="0">INDIRECT($C$1&amp;"!"&amp;VLOOKUP(D$2,mdr,2,0)&amp;$A3)</f>
        <v>A</v>
      </c>
      <c r="E3" s="497" t="str">
        <f t="shared" ca="1" si="0"/>
        <v>A</v>
      </c>
      <c r="F3" s="497" t="str">
        <f t="shared" ca="1" si="0"/>
        <v>A</v>
      </c>
      <c r="G3" s="497" t="str">
        <f t="shared" ca="1" si="0"/>
        <v>A</v>
      </c>
      <c r="H3" s="497" t="str">
        <f t="shared" ca="1" si="0"/>
        <v>A</v>
      </c>
      <c r="I3" s="497" t="str">
        <f t="shared" ca="1" si="0"/>
        <v>A</v>
      </c>
      <c r="J3" s="497" t="str">
        <f t="shared" ca="1" si="0"/>
        <v>A</v>
      </c>
      <c r="K3" s="497" t="str">
        <f t="shared" ca="1" si="0"/>
        <v>A</v>
      </c>
      <c r="L3" s="497" t="str">
        <f t="shared" ca="1" si="0"/>
        <v>A</v>
      </c>
      <c r="M3" s="497" t="str">
        <f t="shared" ca="1" si="0"/>
        <v>A</v>
      </c>
      <c r="N3" s="497" t="str">
        <f t="shared" ca="1" si="0"/>
        <v>A</v>
      </c>
      <c r="O3" s="497" t="str">
        <f t="shared" ca="1" si="0"/>
        <v>A</v>
      </c>
    </row>
    <row r="4" spans="1:19" ht="13">
      <c r="A4" s="366">
        <v>2</v>
      </c>
      <c r="B4" s="370"/>
      <c r="C4" s="370" t="s">
        <v>297</v>
      </c>
      <c r="D4" s="498" t="str">
        <f t="shared" ca="1" si="0"/>
        <v>AUG 14</v>
      </c>
      <c r="E4" s="499" t="str">
        <f t="shared" ca="1" si="0"/>
        <v>SEP14</v>
      </c>
      <c r="F4" s="499" t="str">
        <f t="shared" ca="1" si="0"/>
        <v>OKT 14</v>
      </c>
      <c r="G4" s="499" t="str">
        <f t="shared" ca="1" si="0"/>
        <v>NOV 14</v>
      </c>
      <c r="H4" s="499" t="str">
        <f t="shared" ca="1" si="0"/>
        <v>DEC 14</v>
      </c>
      <c r="I4" s="499" t="str">
        <f t="shared" ca="1" si="0"/>
        <v>JAN 15</v>
      </c>
      <c r="J4" s="499" t="str">
        <f t="shared" ca="1" si="0"/>
        <v>FEB 15</v>
      </c>
      <c r="K4" s="499" t="str">
        <f t="shared" ca="1" si="0"/>
        <v>MAR 15</v>
      </c>
      <c r="L4" s="499" t="str">
        <f t="shared" ca="1" si="0"/>
        <v>APR 15</v>
      </c>
      <c r="M4" s="499" t="str">
        <f t="shared" ca="1" si="0"/>
        <v>MAJ15</v>
      </c>
      <c r="N4" s="499" t="str">
        <f t="shared" ca="1" si="0"/>
        <v>JUN 15</v>
      </c>
      <c r="O4" s="499" t="str">
        <f t="shared" ca="1" si="0"/>
        <v>JUL 15</v>
      </c>
      <c r="R4" s="500" t="s">
        <v>303</v>
      </c>
      <c r="S4" s="501" t="s">
        <v>324</v>
      </c>
    </row>
    <row r="5" spans="1:19" ht="13">
      <c r="A5" s="366">
        <v>8</v>
      </c>
      <c r="B5" s="371"/>
      <c r="C5" s="371" t="s">
        <v>298</v>
      </c>
      <c r="D5" s="372">
        <f t="shared" ca="1" si="0"/>
        <v>0</v>
      </c>
      <c r="E5" s="502">
        <f t="shared" ca="1" si="0"/>
        <v>0</v>
      </c>
      <c r="F5" s="502">
        <f t="shared" ca="1" si="0"/>
        <v>0</v>
      </c>
      <c r="G5" s="502">
        <f t="shared" ca="1" si="0"/>
        <v>0</v>
      </c>
      <c r="H5" s="502">
        <f t="shared" ca="1" si="0"/>
        <v>0</v>
      </c>
      <c r="I5" s="502">
        <f t="shared" ca="1" si="0"/>
        <v>0</v>
      </c>
      <c r="J5" s="502">
        <f t="shared" ca="1" si="0"/>
        <v>0</v>
      </c>
      <c r="K5" s="502">
        <f t="shared" ca="1" si="0"/>
        <v>0</v>
      </c>
      <c r="L5" s="502">
        <f t="shared" ca="1" si="0"/>
        <v>0</v>
      </c>
      <c r="M5" s="502">
        <f t="shared" ca="1" si="0"/>
        <v>0</v>
      </c>
      <c r="N5" s="502">
        <f t="shared" ca="1" si="0"/>
        <v>0</v>
      </c>
      <c r="O5" s="502">
        <f t="shared" ca="1" si="0"/>
        <v>0</v>
      </c>
      <c r="R5" s="503" t="s">
        <v>319</v>
      </c>
      <c r="S5" s="504" t="s">
        <v>326</v>
      </c>
    </row>
    <row r="6" spans="1:19" ht="13">
      <c r="A6" s="366">
        <v>3</v>
      </c>
      <c r="B6" s="370"/>
      <c r="C6" s="370" t="s">
        <v>299</v>
      </c>
      <c r="D6" s="373">
        <f t="shared" ca="1" si="0"/>
        <v>1</v>
      </c>
      <c r="E6" s="527">
        <f t="shared" ca="1" si="0"/>
        <v>1</v>
      </c>
      <c r="F6" s="527">
        <f t="shared" ca="1" si="0"/>
        <v>1</v>
      </c>
      <c r="G6" s="527">
        <f t="shared" ca="1" si="0"/>
        <v>1</v>
      </c>
      <c r="H6" s="527">
        <f t="shared" ca="1" si="0"/>
        <v>1</v>
      </c>
      <c r="I6" s="527">
        <f t="shared" ca="1" si="0"/>
        <v>1</v>
      </c>
      <c r="J6" s="527">
        <f t="shared" ca="1" si="0"/>
        <v>1</v>
      </c>
      <c r="K6" s="527">
        <f t="shared" ca="1" si="0"/>
        <v>1</v>
      </c>
      <c r="L6" s="527">
        <f t="shared" ca="1" si="0"/>
        <v>1</v>
      </c>
      <c r="M6" s="527">
        <f t="shared" ca="1" si="0"/>
        <v>1</v>
      </c>
      <c r="N6" s="527">
        <f t="shared" ca="1" si="0"/>
        <v>1</v>
      </c>
      <c r="O6" s="527">
        <f t="shared" ca="1" si="0"/>
        <v>1</v>
      </c>
      <c r="R6" s="503" t="s">
        <v>321</v>
      </c>
      <c r="S6" s="504" t="s">
        <v>328</v>
      </c>
    </row>
    <row r="7" spans="1:19" ht="13">
      <c r="A7" s="366">
        <v>7</v>
      </c>
      <c r="B7" s="371"/>
      <c r="C7" s="371" t="s">
        <v>460</v>
      </c>
      <c r="D7" s="505">
        <f t="shared" ca="1" si="0"/>
        <v>2</v>
      </c>
      <c r="E7" s="506">
        <f t="shared" ca="1" si="0"/>
        <v>2</v>
      </c>
      <c r="F7" s="506">
        <f t="shared" ca="1" si="0"/>
        <v>2</v>
      </c>
      <c r="G7" s="506">
        <f t="shared" ca="1" si="0"/>
        <v>2</v>
      </c>
      <c r="H7" s="506">
        <f t="shared" ca="1" si="0"/>
        <v>2</v>
      </c>
      <c r="I7" s="506">
        <f t="shared" ca="1" si="0"/>
        <v>2</v>
      </c>
      <c r="J7" s="506">
        <f t="shared" ca="1" si="0"/>
        <v>2</v>
      </c>
      <c r="K7" s="506">
        <f t="shared" ca="1" si="0"/>
        <v>2</v>
      </c>
      <c r="L7" s="506">
        <f t="shared" ca="1" si="0"/>
        <v>2</v>
      </c>
      <c r="M7" s="506">
        <f t="shared" ca="1" si="0"/>
        <v>2</v>
      </c>
      <c r="N7" s="506">
        <f t="shared" ca="1" si="0"/>
        <v>2</v>
      </c>
      <c r="O7" s="506">
        <f t="shared" ca="1" si="0"/>
        <v>2</v>
      </c>
      <c r="R7" s="503" t="s">
        <v>323</v>
      </c>
      <c r="S7" s="504" t="s">
        <v>330</v>
      </c>
    </row>
    <row r="8" spans="1:19" ht="13">
      <c r="A8" s="366">
        <v>9</v>
      </c>
      <c r="B8" s="370"/>
      <c r="C8" s="370" t="s">
        <v>461</v>
      </c>
      <c r="D8" s="528">
        <f t="shared" ca="1" si="0"/>
        <v>0</v>
      </c>
      <c r="E8" s="529">
        <f t="shared" ca="1" si="0"/>
        <v>0</v>
      </c>
      <c r="F8" s="529">
        <f t="shared" ca="1" si="0"/>
        <v>0</v>
      </c>
      <c r="G8" s="529">
        <f t="shared" ca="1" si="0"/>
        <v>0</v>
      </c>
      <c r="H8" s="529">
        <f t="shared" ca="1" si="0"/>
        <v>0</v>
      </c>
      <c r="I8" s="529">
        <f t="shared" ca="1" si="0"/>
        <v>0</v>
      </c>
      <c r="J8" s="529">
        <f t="shared" ca="1" si="0"/>
        <v>0</v>
      </c>
      <c r="K8" s="529">
        <f t="shared" ca="1" si="0"/>
        <v>0</v>
      </c>
      <c r="L8" s="529">
        <f t="shared" ca="1" si="0"/>
        <v>0</v>
      </c>
      <c r="M8" s="529">
        <f t="shared" ca="1" si="0"/>
        <v>0</v>
      </c>
      <c r="N8" s="529">
        <f t="shared" ca="1" si="0"/>
        <v>0</v>
      </c>
      <c r="O8" s="529">
        <f t="shared" ca="1" si="0"/>
        <v>0</v>
      </c>
      <c r="R8" s="503" t="s">
        <v>325</v>
      </c>
      <c r="S8" s="504" t="s">
        <v>332</v>
      </c>
    </row>
    <row r="9" spans="1:19" ht="13">
      <c r="A9" s="507">
        <v>4</v>
      </c>
      <c r="B9" s="371"/>
      <c r="C9" s="371" t="s">
        <v>300</v>
      </c>
      <c r="D9" s="505">
        <f t="shared" ca="1" si="0"/>
        <v>0</v>
      </c>
      <c r="E9" s="506">
        <f t="shared" ca="1" si="0"/>
        <v>0</v>
      </c>
      <c r="F9" s="506">
        <f t="shared" ca="1" si="0"/>
        <v>0</v>
      </c>
      <c r="G9" s="506">
        <f t="shared" ca="1" si="0"/>
        <v>0</v>
      </c>
      <c r="H9" s="506">
        <f t="shared" ca="1" si="0"/>
        <v>0</v>
      </c>
      <c r="I9" s="506">
        <f t="shared" ca="1" si="0"/>
        <v>0</v>
      </c>
      <c r="J9" s="506">
        <f t="shared" ca="1" si="0"/>
        <v>0</v>
      </c>
      <c r="K9" s="506">
        <f t="shared" ca="1" si="0"/>
        <v>0</v>
      </c>
      <c r="L9" s="506">
        <f t="shared" ca="1" si="0"/>
        <v>0</v>
      </c>
      <c r="M9" s="506">
        <f t="shared" ca="1" si="0"/>
        <v>0</v>
      </c>
      <c r="N9" s="506">
        <f t="shared" ca="1" si="0"/>
        <v>0</v>
      </c>
      <c r="O9" s="506">
        <f t="shared" ca="1" si="0"/>
        <v>0</v>
      </c>
      <c r="R9" s="503" t="s">
        <v>327</v>
      </c>
      <c r="S9" s="504" t="s">
        <v>334</v>
      </c>
    </row>
    <row r="10" spans="1:19" ht="13">
      <c r="B10" s="370"/>
      <c r="C10" s="370" t="s">
        <v>479</v>
      </c>
      <c r="D10" s="508" t="str">
        <f ca="1">IF(LEFT(INDIRECT($C$1&amp;"!G5"))="L","LP","Tj.m., trin "&amp;RIGHT(INDIRECT($C$1&amp;"!G5"),2))</f>
        <v xml:space="preserve">Tj.m., trin </v>
      </c>
      <c r="E10" s="509" t="str">
        <f ca="1">IF(LEFT(INDIRECT($C$1&amp;"!G5"))="L","LP","Tj.m., trin "&amp;RIGHT(INDIRECT($C$1&amp;"!h5"),2))</f>
        <v>Tj.m., trin 0</v>
      </c>
      <c r="F10" s="509" t="str">
        <f ca="1">IF(LEFT(INDIRECT($C$1&amp;"!G5"))="L","LP","Tj.m., trin "&amp;RIGHT(INDIRECT($C$1&amp;"!i5"),2))</f>
        <v>Tj.m., trin 0</v>
      </c>
      <c r="G10" s="509" t="str">
        <f ca="1">IF(LEFT(INDIRECT($C$1&amp;"!G5"))="L","LP","Tj.m., trin "&amp;RIGHT(INDIRECT($C$1&amp;"!j5"),2))</f>
        <v>Tj.m., trin 0</v>
      </c>
      <c r="H10" s="509" t="str">
        <f ca="1">IF(LEFT(INDIRECT($C$1&amp;"!G5"))="L","LP","Tj.m., trin "&amp;RIGHT(INDIRECT($C$1&amp;"!k5"),2))</f>
        <v>Tj.m., trin 0</v>
      </c>
      <c r="I10" s="509" t="str">
        <f ca="1">IF(LEFT(INDIRECT($C$1&amp;"!G5"))="L","LP","Tj.m., trin "&amp;RIGHT(INDIRECT($C$1&amp;"!l5"),2))</f>
        <v>Tj.m., trin 0</v>
      </c>
      <c r="J10" s="509" t="str">
        <f ca="1">IF(LEFT(INDIRECT($C$1&amp;"!G5"))="L","LP","Tj.m., trin "&amp;RIGHT(INDIRECT($C$1&amp;"!m5"),2))</f>
        <v>Tj.m., trin 0</v>
      </c>
      <c r="K10" s="509" t="str">
        <f ca="1">IF(LEFT(INDIRECT($C$1&amp;"!G5"))="L","LP","Tj.m., trin "&amp;RIGHT(INDIRECT($C$1&amp;"!n5"),2))</f>
        <v>Tj.m., trin 0</v>
      </c>
      <c r="L10" s="509" t="str">
        <f ca="1">IF(LEFT(INDIRECT($C$1&amp;"!G5"))="L","LP","Tj.m., trin "&amp;RIGHT(INDIRECT($C$1&amp;"!o5"),2))</f>
        <v>Tj.m., trin 0</v>
      </c>
      <c r="M10" s="509" t="str">
        <f ca="1">IF(LEFT(INDIRECT($C$1&amp;"!G5"))="L","LP","Tj.m., trin "&amp;RIGHT(INDIRECT($C$1&amp;"!p5"),2))</f>
        <v>Tj.m., trin 0</v>
      </c>
      <c r="N10" s="509" t="str">
        <f ca="1">IF(LEFT(INDIRECT($C$1&amp;"!G5"))="L","LP","Tj.m., trin "&amp;RIGHT(INDIRECT($C$1&amp;"!q5"),2))</f>
        <v>Tj.m., trin 0</v>
      </c>
      <c r="O10" s="509" t="str">
        <f ca="1">IF(LEFT(INDIRECT($C$1&amp;"!G5"))="L","LP","Tj.m., trin "&amp;RIGHT(INDIRECT($C$1&amp;"!r5"),2))</f>
        <v>Tj.m., trin 0</v>
      </c>
      <c r="R10" s="503" t="s">
        <v>329</v>
      </c>
      <c r="S10" s="504" t="s">
        <v>336</v>
      </c>
    </row>
    <row r="11" spans="1:19">
      <c r="A11" s="366">
        <v>45</v>
      </c>
      <c r="B11" s="376">
        <v>1</v>
      </c>
      <c r="C11" s="377" t="str">
        <f ca="1">IF(ABS(SUM(D11:O11))&gt;0.01,INDIRECT($C$1&amp;"!f"&amp;A11),"")</f>
        <v/>
      </c>
      <c r="D11" s="623">
        <f t="shared" ref="D11:O20" ca="1" si="1">INDIRECT($C$1&amp;"!"&amp;VLOOKUP(D$2,mdr,2,0)&amp;$A11)</f>
        <v>0</v>
      </c>
      <c r="E11" s="623">
        <f t="shared" ca="1" si="1"/>
        <v>0</v>
      </c>
      <c r="F11" s="623">
        <f t="shared" ca="1" si="1"/>
        <v>0</v>
      </c>
      <c r="G11" s="623">
        <f t="shared" ca="1" si="1"/>
        <v>0</v>
      </c>
      <c r="H11" s="623">
        <f t="shared" ca="1" si="1"/>
        <v>0</v>
      </c>
      <c r="I11" s="623">
        <f t="shared" ca="1" si="1"/>
        <v>0</v>
      </c>
      <c r="J11" s="623">
        <f t="shared" ca="1" si="1"/>
        <v>0</v>
      </c>
      <c r="K11" s="623">
        <f t="shared" ca="1" si="1"/>
        <v>0</v>
      </c>
      <c r="L11" s="623">
        <f t="shared" ca="1" si="1"/>
        <v>0</v>
      </c>
      <c r="M11" s="623">
        <f t="shared" ca="1" si="1"/>
        <v>0</v>
      </c>
      <c r="N11" s="623">
        <f t="shared" ca="1" si="1"/>
        <v>0</v>
      </c>
      <c r="O11" s="623">
        <f t="shared" ca="1" si="1"/>
        <v>0</v>
      </c>
      <c r="R11" s="503" t="s">
        <v>331</v>
      </c>
      <c r="S11" s="504" t="s">
        <v>338</v>
      </c>
    </row>
    <row r="12" spans="1:19">
      <c r="A12" s="366">
        <v>46</v>
      </c>
      <c r="B12" s="374">
        <f>B11+1</f>
        <v>2</v>
      </c>
      <c r="C12" s="375" t="str">
        <f t="shared" ref="C12:C71" ca="1" si="2">IF(ABS(SUM(D12:O12))&gt;0.01,INDIRECT($C$1&amp;"!f"&amp;A12),"")</f>
        <v/>
      </c>
      <c r="D12" s="624">
        <f t="shared" ca="1" si="1"/>
        <v>0</v>
      </c>
      <c r="E12" s="624">
        <f t="shared" ca="1" si="1"/>
        <v>0</v>
      </c>
      <c r="F12" s="624">
        <f t="shared" ca="1" si="1"/>
        <v>0</v>
      </c>
      <c r="G12" s="624">
        <f t="shared" ca="1" si="1"/>
        <v>0</v>
      </c>
      <c r="H12" s="624">
        <f t="shared" ca="1" si="1"/>
        <v>0</v>
      </c>
      <c r="I12" s="624">
        <f t="shared" ca="1" si="1"/>
        <v>0</v>
      </c>
      <c r="J12" s="624">
        <f t="shared" ca="1" si="1"/>
        <v>0</v>
      </c>
      <c r="K12" s="624">
        <f t="shared" ca="1" si="1"/>
        <v>0</v>
      </c>
      <c r="L12" s="624">
        <f t="shared" ca="1" si="1"/>
        <v>0</v>
      </c>
      <c r="M12" s="624">
        <f t="shared" ca="1" si="1"/>
        <v>0</v>
      </c>
      <c r="N12" s="624">
        <f t="shared" ca="1" si="1"/>
        <v>0</v>
      </c>
      <c r="O12" s="624">
        <f t="shared" ca="1" si="1"/>
        <v>0</v>
      </c>
      <c r="R12" s="503" t="s">
        <v>333</v>
      </c>
      <c r="S12" s="504" t="s">
        <v>340</v>
      </c>
    </row>
    <row r="13" spans="1:19">
      <c r="A13" s="366">
        <v>47</v>
      </c>
      <c r="B13" s="376">
        <f t="shared" ref="B13:B71" si="3">B12+1</f>
        <v>3</v>
      </c>
      <c r="C13" s="377" t="str">
        <f t="shared" ca="1" si="2"/>
        <v/>
      </c>
      <c r="D13" s="623">
        <f t="shared" ca="1" si="1"/>
        <v>0</v>
      </c>
      <c r="E13" s="623">
        <f t="shared" ca="1" si="1"/>
        <v>0</v>
      </c>
      <c r="F13" s="623">
        <f t="shared" ca="1" si="1"/>
        <v>0</v>
      </c>
      <c r="G13" s="623">
        <f t="shared" ca="1" si="1"/>
        <v>0</v>
      </c>
      <c r="H13" s="623">
        <f t="shared" ca="1" si="1"/>
        <v>0</v>
      </c>
      <c r="I13" s="623">
        <f t="shared" ca="1" si="1"/>
        <v>0</v>
      </c>
      <c r="J13" s="623">
        <f t="shared" ca="1" si="1"/>
        <v>0</v>
      </c>
      <c r="K13" s="623">
        <f t="shared" ca="1" si="1"/>
        <v>0</v>
      </c>
      <c r="L13" s="623">
        <f t="shared" ca="1" si="1"/>
        <v>0</v>
      </c>
      <c r="M13" s="623">
        <f t="shared" ca="1" si="1"/>
        <v>0</v>
      </c>
      <c r="N13" s="623">
        <f t="shared" ca="1" si="1"/>
        <v>0</v>
      </c>
      <c r="O13" s="623">
        <f t="shared" ca="1" si="1"/>
        <v>0</v>
      </c>
      <c r="R13" s="503" t="s">
        <v>335</v>
      </c>
      <c r="S13" s="504" t="s">
        <v>442</v>
      </c>
    </row>
    <row r="14" spans="1:19">
      <c r="A14" s="366">
        <v>48</v>
      </c>
      <c r="B14" s="374">
        <f t="shared" si="3"/>
        <v>4</v>
      </c>
      <c r="C14" s="375" t="str">
        <f t="shared" ca="1" si="2"/>
        <v/>
      </c>
      <c r="D14" s="624">
        <f t="shared" ca="1" si="1"/>
        <v>0</v>
      </c>
      <c r="E14" s="624">
        <f t="shared" ca="1" si="1"/>
        <v>0</v>
      </c>
      <c r="F14" s="624">
        <f t="shared" ca="1" si="1"/>
        <v>0</v>
      </c>
      <c r="G14" s="624">
        <f t="shared" ca="1" si="1"/>
        <v>0</v>
      </c>
      <c r="H14" s="624">
        <f t="shared" ca="1" si="1"/>
        <v>0</v>
      </c>
      <c r="I14" s="624">
        <f t="shared" ca="1" si="1"/>
        <v>0</v>
      </c>
      <c r="J14" s="624">
        <f t="shared" ca="1" si="1"/>
        <v>0</v>
      </c>
      <c r="K14" s="624">
        <f t="shared" ca="1" si="1"/>
        <v>0</v>
      </c>
      <c r="L14" s="624">
        <f t="shared" ca="1" si="1"/>
        <v>0</v>
      </c>
      <c r="M14" s="624">
        <f t="shared" ca="1" si="1"/>
        <v>0</v>
      </c>
      <c r="N14" s="624">
        <f t="shared" ca="1" si="1"/>
        <v>0</v>
      </c>
      <c r="O14" s="624">
        <f t="shared" ca="1" si="1"/>
        <v>0</v>
      </c>
      <c r="R14" s="503" t="s">
        <v>337</v>
      </c>
      <c r="S14" s="504" t="s">
        <v>443</v>
      </c>
    </row>
    <row r="15" spans="1:19">
      <c r="A15" s="366">
        <v>49</v>
      </c>
      <c r="B15" s="376">
        <f t="shared" si="3"/>
        <v>5</v>
      </c>
      <c r="C15" s="377" t="str">
        <f t="shared" ca="1" si="2"/>
        <v/>
      </c>
      <c r="D15" s="623">
        <f t="shared" ca="1" si="1"/>
        <v>0</v>
      </c>
      <c r="E15" s="623">
        <f t="shared" ca="1" si="1"/>
        <v>0</v>
      </c>
      <c r="F15" s="623">
        <f t="shared" ca="1" si="1"/>
        <v>0</v>
      </c>
      <c r="G15" s="623">
        <f t="shared" ca="1" si="1"/>
        <v>0</v>
      </c>
      <c r="H15" s="623">
        <f t="shared" ca="1" si="1"/>
        <v>0</v>
      </c>
      <c r="I15" s="623">
        <f t="shared" ca="1" si="1"/>
        <v>0</v>
      </c>
      <c r="J15" s="623">
        <f t="shared" ca="1" si="1"/>
        <v>0</v>
      </c>
      <c r="K15" s="623">
        <f t="shared" ca="1" si="1"/>
        <v>0</v>
      </c>
      <c r="L15" s="623">
        <f t="shared" ca="1" si="1"/>
        <v>0</v>
      </c>
      <c r="M15" s="623">
        <f t="shared" ca="1" si="1"/>
        <v>0</v>
      </c>
      <c r="N15" s="623">
        <f t="shared" ca="1" si="1"/>
        <v>0</v>
      </c>
      <c r="O15" s="623">
        <f t="shared" ca="1" si="1"/>
        <v>0</v>
      </c>
      <c r="R15" s="512" t="s">
        <v>339</v>
      </c>
      <c r="S15" s="513" t="s">
        <v>444</v>
      </c>
    </row>
    <row r="16" spans="1:19">
      <c r="A16" s="366">
        <v>50</v>
      </c>
      <c r="B16" s="374">
        <f t="shared" si="3"/>
        <v>6</v>
      </c>
      <c r="C16" s="375" t="str">
        <f t="shared" ca="1" si="2"/>
        <v/>
      </c>
      <c r="D16" s="624">
        <f t="shared" ca="1" si="1"/>
        <v>0</v>
      </c>
      <c r="E16" s="624">
        <f t="shared" ca="1" si="1"/>
        <v>0</v>
      </c>
      <c r="F16" s="624">
        <f t="shared" ca="1" si="1"/>
        <v>0</v>
      </c>
      <c r="G16" s="624">
        <f t="shared" ca="1" si="1"/>
        <v>0</v>
      </c>
      <c r="H16" s="624">
        <f t="shared" ca="1" si="1"/>
        <v>0</v>
      </c>
      <c r="I16" s="624">
        <f t="shared" ca="1" si="1"/>
        <v>0</v>
      </c>
      <c r="J16" s="624">
        <f t="shared" ca="1" si="1"/>
        <v>0</v>
      </c>
      <c r="K16" s="624">
        <f t="shared" ca="1" si="1"/>
        <v>0</v>
      </c>
      <c r="L16" s="624">
        <f t="shared" ca="1" si="1"/>
        <v>0</v>
      </c>
      <c r="M16" s="624">
        <f t="shared" ca="1" si="1"/>
        <v>0</v>
      </c>
      <c r="N16" s="624">
        <f t="shared" ca="1" si="1"/>
        <v>0</v>
      </c>
      <c r="O16" s="624">
        <f t="shared" ca="1" si="1"/>
        <v>0</v>
      </c>
    </row>
    <row r="17" spans="1:15">
      <c r="A17" s="366">
        <v>51</v>
      </c>
      <c r="B17" s="376">
        <f t="shared" si="3"/>
        <v>7</v>
      </c>
      <c r="C17" s="377" t="str">
        <f t="shared" ca="1" si="2"/>
        <v/>
      </c>
      <c r="D17" s="623">
        <f t="shared" ca="1" si="1"/>
        <v>0</v>
      </c>
      <c r="E17" s="623">
        <f t="shared" ca="1" si="1"/>
        <v>0</v>
      </c>
      <c r="F17" s="623">
        <f t="shared" ca="1" si="1"/>
        <v>0</v>
      </c>
      <c r="G17" s="623">
        <f t="shared" ca="1" si="1"/>
        <v>0</v>
      </c>
      <c r="H17" s="623">
        <f t="shared" ca="1" si="1"/>
        <v>0</v>
      </c>
      <c r="I17" s="623">
        <f t="shared" ca="1" si="1"/>
        <v>0</v>
      </c>
      <c r="J17" s="623">
        <f t="shared" ca="1" si="1"/>
        <v>0</v>
      </c>
      <c r="K17" s="623">
        <f t="shared" ca="1" si="1"/>
        <v>0</v>
      </c>
      <c r="L17" s="623">
        <f t="shared" ca="1" si="1"/>
        <v>0</v>
      </c>
      <c r="M17" s="623">
        <f t="shared" ca="1" si="1"/>
        <v>0</v>
      </c>
      <c r="N17" s="623">
        <f t="shared" ca="1" si="1"/>
        <v>0</v>
      </c>
      <c r="O17" s="623">
        <f t="shared" ca="1" si="1"/>
        <v>0</v>
      </c>
    </row>
    <row r="18" spans="1:15">
      <c r="A18" s="366">
        <v>52</v>
      </c>
      <c r="B18" s="374">
        <f t="shared" si="3"/>
        <v>8</v>
      </c>
      <c r="C18" s="375" t="str">
        <f t="shared" ca="1" si="2"/>
        <v/>
      </c>
      <c r="D18" s="624">
        <f t="shared" ca="1" si="1"/>
        <v>0</v>
      </c>
      <c r="E18" s="624">
        <f t="shared" ca="1" si="1"/>
        <v>0</v>
      </c>
      <c r="F18" s="624">
        <f t="shared" ca="1" si="1"/>
        <v>0</v>
      </c>
      <c r="G18" s="624">
        <f t="shared" ca="1" si="1"/>
        <v>0</v>
      </c>
      <c r="H18" s="624">
        <f t="shared" ca="1" si="1"/>
        <v>0</v>
      </c>
      <c r="I18" s="624">
        <f t="shared" ca="1" si="1"/>
        <v>0</v>
      </c>
      <c r="J18" s="624">
        <f t="shared" ca="1" si="1"/>
        <v>0</v>
      </c>
      <c r="K18" s="624">
        <f t="shared" ca="1" si="1"/>
        <v>0</v>
      </c>
      <c r="L18" s="624">
        <f t="shared" ca="1" si="1"/>
        <v>0</v>
      </c>
      <c r="M18" s="624">
        <f t="shared" ca="1" si="1"/>
        <v>0</v>
      </c>
      <c r="N18" s="624">
        <f t="shared" ca="1" si="1"/>
        <v>0</v>
      </c>
      <c r="O18" s="624">
        <f t="shared" ca="1" si="1"/>
        <v>0</v>
      </c>
    </row>
    <row r="19" spans="1:15">
      <c r="A19" s="366">
        <v>53</v>
      </c>
      <c r="B19" s="376">
        <f t="shared" si="3"/>
        <v>9</v>
      </c>
      <c r="C19" s="377" t="str">
        <f t="shared" ca="1" si="2"/>
        <v/>
      </c>
      <c r="D19" s="623">
        <f t="shared" ca="1" si="1"/>
        <v>0</v>
      </c>
      <c r="E19" s="623">
        <f t="shared" ca="1" si="1"/>
        <v>0</v>
      </c>
      <c r="F19" s="623">
        <f t="shared" ca="1" si="1"/>
        <v>0</v>
      </c>
      <c r="G19" s="623">
        <f t="shared" ca="1" si="1"/>
        <v>0</v>
      </c>
      <c r="H19" s="623">
        <f t="shared" ca="1" si="1"/>
        <v>0</v>
      </c>
      <c r="I19" s="623">
        <f t="shared" ca="1" si="1"/>
        <v>0</v>
      </c>
      <c r="J19" s="623">
        <f t="shared" ca="1" si="1"/>
        <v>0</v>
      </c>
      <c r="K19" s="623">
        <f t="shared" ca="1" si="1"/>
        <v>0</v>
      </c>
      <c r="L19" s="623">
        <f t="shared" ca="1" si="1"/>
        <v>0</v>
      </c>
      <c r="M19" s="623">
        <f t="shared" ca="1" si="1"/>
        <v>0</v>
      </c>
      <c r="N19" s="623">
        <f t="shared" ca="1" si="1"/>
        <v>0</v>
      </c>
      <c r="O19" s="623">
        <f t="shared" ca="1" si="1"/>
        <v>0</v>
      </c>
    </row>
    <row r="20" spans="1:15">
      <c r="A20" s="366">
        <v>54</v>
      </c>
      <c r="B20" s="374">
        <f t="shared" si="3"/>
        <v>10</v>
      </c>
      <c r="C20" s="375" t="str">
        <f t="shared" ca="1" si="2"/>
        <v/>
      </c>
      <c r="D20" s="624">
        <f t="shared" ca="1" si="1"/>
        <v>0</v>
      </c>
      <c r="E20" s="624">
        <f t="shared" ca="1" si="1"/>
        <v>0</v>
      </c>
      <c r="F20" s="624">
        <f t="shared" ca="1" si="1"/>
        <v>0</v>
      </c>
      <c r="G20" s="624">
        <f t="shared" ca="1" si="1"/>
        <v>0</v>
      </c>
      <c r="H20" s="624">
        <f t="shared" ca="1" si="1"/>
        <v>0</v>
      </c>
      <c r="I20" s="624">
        <f t="shared" ca="1" si="1"/>
        <v>0</v>
      </c>
      <c r="J20" s="624">
        <f t="shared" ca="1" si="1"/>
        <v>0</v>
      </c>
      <c r="K20" s="624">
        <f t="shared" ca="1" si="1"/>
        <v>0</v>
      </c>
      <c r="L20" s="624">
        <f t="shared" ca="1" si="1"/>
        <v>0</v>
      </c>
      <c r="M20" s="624">
        <f t="shared" ca="1" si="1"/>
        <v>0</v>
      </c>
      <c r="N20" s="624">
        <f t="shared" ca="1" si="1"/>
        <v>0</v>
      </c>
      <c r="O20" s="624">
        <f t="shared" ca="1" si="1"/>
        <v>0</v>
      </c>
    </row>
    <row r="21" spans="1:15">
      <c r="A21" s="366">
        <v>55</v>
      </c>
      <c r="B21" s="376">
        <f t="shared" si="3"/>
        <v>11</v>
      </c>
      <c r="C21" s="377" t="str">
        <f t="shared" ca="1" si="2"/>
        <v/>
      </c>
      <c r="D21" s="623">
        <f t="shared" ref="D21:O30" ca="1" si="4">INDIRECT($C$1&amp;"!"&amp;VLOOKUP(D$2,mdr,2,0)&amp;$A21)</f>
        <v>0</v>
      </c>
      <c r="E21" s="623">
        <f t="shared" ca="1" si="4"/>
        <v>0</v>
      </c>
      <c r="F21" s="623">
        <f t="shared" ca="1" si="4"/>
        <v>0</v>
      </c>
      <c r="G21" s="623">
        <f t="shared" ca="1" si="4"/>
        <v>0</v>
      </c>
      <c r="H21" s="623">
        <f t="shared" ca="1" si="4"/>
        <v>0</v>
      </c>
      <c r="I21" s="623">
        <f t="shared" ca="1" si="4"/>
        <v>0</v>
      </c>
      <c r="J21" s="623">
        <f t="shared" ca="1" si="4"/>
        <v>0</v>
      </c>
      <c r="K21" s="623">
        <f t="shared" ca="1" si="4"/>
        <v>0</v>
      </c>
      <c r="L21" s="623">
        <f t="shared" ca="1" si="4"/>
        <v>0</v>
      </c>
      <c r="M21" s="623">
        <f t="shared" ca="1" si="4"/>
        <v>0</v>
      </c>
      <c r="N21" s="623">
        <f t="shared" ca="1" si="4"/>
        <v>0</v>
      </c>
      <c r="O21" s="623">
        <f t="shared" ca="1" si="4"/>
        <v>0</v>
      </c>
    </row>
    <row r="22" spans="1:15">
      <c r="A22" s="366">
        <v>56</v>
      </c>
      <c r="B22" s="374">
        <f t="shared" si="3"/>
        <v>12</v>
      </c>
      <c r="C22" s="375" t="str">
        <f t="shared" ca="1" si="2"/>
        <v/>
      </c>
      <c r="D22" s="624">
        <f t="shared" ca="1" si="4"/>
        <v>0</v>
      </c>
      <c r="E22" s="624">
        <f t="shared" ca="1" si="4"/>
        <v>0</v>
      </c>
      <c r="F22" s="624">
        <f t="shared" ca="1" si="4"/>
        <v>0</v>
      </c>
      <c r="G22" s="624">
        <f t="shared" ca="1" si="4"/>
        <v>0</v>
      </c>
      <c r="H22" s="624">
        <f t="shared" ca="1" si="4"/>
        <v>0</v>
      </c>
      <c r="I22" s="624">
        <f t="shared" ca="1" si="4"/>
        <v>0</v>
      </c>
      <c r="J22" s="624">
        <f t="shared" ca="1" si="4"/>
        <v>0</v>
      </c>
      <c r="K22" s="624">
        <f t="shared" ca="1" si="4"/>
        <v>0</v>
      </c>
      <c r="L22" s="624">
        <f t="shared" ca="1" si="4"/>
        <v>0</v>
      </c>
      <c r="M22" s="624">
        <f t="shared" ca="1" si="4"/>
        <v>0</v>
      </c>
      <c r="N22" s="624">
        <f t="shared" ca="1" si="4"/>
        <v>0</v>
      </c>
      <c r="O22" s="624">
        <f t="shared" ca="1" si="4"/>
        <v>0</v>
      </c>
    </row>
    <row r="23" spans="1:15">
      <c r="A23" s="366">
        <v>57</v>
      </c>
      <c r="B23" s="376">
        <f t="shared" si="3"/>
        <v>13</v>
      </c>
      <c r="C23" s="377" t="str">
        <f t="shared" ca="1" si="2"/>
        <v/>
      </c>
      <c r="D23" s="623">
        <f t="shared" ca="1" si="4"/>
        <v>0</v>
      </c>
      <c r="E23" s="623">
        <f t="shared" ca="1" si="4"/>
        <v>0</v>
      </c>
      <c r="F23" s="623">
        <f t="shared" ca="1" si="4"/>
        <v>0</v>
      </c>
      <c r="G23" s="623">
        <f t="shared" ca="1" si="4"/>
        <v>0</v>
      </c>
      <c r="H23" s="623">
        <f t="shared" ca="1" si="4"/>
        <v>0</v>
      </c>
      <c r="I23" s="623">
        <f t="shared" ca="1" si="4"/>
        <v>0</v>
      </c>
      <c r="J23" s="623">
        <f t="shared" ca="1" si="4"/>
        <v>0</v>
      </c>
      <c r="K23" s="623">
        <f t="shared" ca="1" si="4"/>
        <v>0</v>
      </c>
      <c r="L23" s="623">
        <f t="shared" ca="1" si="4"/>
        <v>0</v>
      </c>
      <c r="M23" s="623">
        <f t="shared" ca="1" si="4"/>
        <v>0</v>
      </c>
      <c r="N23" s="623">
        <f t="shared" ca="1" si="4"/>
        <v>0</v>
      </c>
      <c r="O23" s="623">
        <f t="shared" ca="1" si="4"/>
        <v>0</v>
      </c>
    </row>
    <row r="24" spans="1:15">
      <c r="A24" s="366">
        <v>58</v>
      </c>
      <c r="B24" s="374">
        <f t="shared" si="3"/>
        <v>14</v>
      </c>
      <c r="C24" s="375" t="str">
        <f t="shared" ca="1" si="2"/>
        <v/>
      </c>
      <c r="D24" s="624">
        <f t="shared" ca="1" si="4"/>
        <v>0</v>
      </c>
      <c r="E24" s="624">
        <f t="shared" ca="1" si="4"/>
        <v>0</v>
      </c>
      <c r="F24" s="624">
        <f t="shared" ca="1" si="4"/>
        <v>0</v>
      </c>
      <c r="G24" s="624">
        <f t="shared" ca="1" si="4"/>
        <v>0</v>
      </c>
      <c r="H24" s="624">
        <f t="shared" ca="1" si="4"/>
        <v>0</v>
      </c>
      <c r="I24" s="624">
        <f t="shared" ca="1" si="4"/>
        <v>0</v>
      </c>
      <c r="J24" s="624">
        <f t="shared" ca="1" si="4"/>
        <v>0</v>
      </c>
      <c r="K24" s="624">
        <f t="shared" ca="1" si="4"/>
        <v>0</v>
      </c>
      <c r="L24" s="624">
        <f t="shared" ca="1" si="4"/>
        <v>0</v>
      </c>
      <c r="M24" s="624">
        <f t="shared" ca="1" si="4"/>
        <v>0</v>
      </c>
      <c r="N24" s="624">
        <f t="shared" ca="1" si="4"/>
        <v>0</v>
      </c>
      <c r="O24" s="624">
        <f t="shared" ca="1" si="4"/>
        <v>0</v>
      </c>
    </row>
    <row r="25" spans="1:15">
      <c r="A25" s="366">
        <v>59</v>
      </c>
      <c r="B25" s="376">
        <f t="shared" si="3"/>
        <v>15</v>
      </c>
      <c r="C25" s="377" t="str">
        <f t="shared" ca="1" si="2"/>
        <v/>
      </c>
      <c r="D25" s="623">
        <f t="shared" ca="1" si="4"/>
        <v>0</v>
      </c>
      <c r="E25" s="623">
        <f t="shared" ca="1" si="4"/>
        <v>0</v>
      </c>
      <c r="F25" s="623">
        <f t="shared" ca="1" si="4"/>
        <v>0</v>
      </c>
      <c r="G25" s="623">
        <f t="shared" ca="1" si="4"/>
        <v>0</v>
      </c>
      <c r="H25" s="623">
        <f t="shared" ca="1" si="4"/>
        <v>0</v>
      </c>
      <c r="I25" s="623">
        <f t="shared" ca="1" si="4"/>
        <v>0</v>
      </c>
      <c r="J25" s="623">
        <f t="shared" ca="1" si="4"/>
        <v>0</v>
      </c>
      <c r="K25" s="623">
        <f t="shared" ca="1" si="4"/>
        <v>0</v>
      </c>
      <c r="L25" s="623">
        <f t="shared" ca="1" si="4"/>
        <v>0</v>
      </c>
      <c r="M25" s="623">
        <f t="shared" ca="1" si="4"/>
        <v>0</v>
      </c>
      <c r="N25" s="623">
        <f t="shared" ca="1" si="4"/>
        <v>0</v>
      </c>
      <c r="O25" s="623">
        <f t="shared" ca="1" si="4"/>
        <v>0</v>
      </c>
    </row>
    <row r="26" spans="1:15">
      <c r="A26" s="366">
        <v>60</v>
      </c>
      <c r="B26" s="374">
        <f t="shared" si="3"/>
        <v>16</v>
      </c>
      <c r="C26" s="375" t="str">
        <f t="shared" ca="1" si="2"/>
        <v/>
      </c>
      <c r="D26" s="624">
        <f t="shared" ca="1" si="4"/>
        <v>0</v>
      </c>
      <c r="E26" s="624">
        <f t="shared" ca="1" si="4"/>
        <v>0</v>
      </c>
      <c r="F26" s="624">
        <f t="shared" ca="1" si="4"/>
        <v>0</v>
      </c>
      <c r="G26" s="624">
        <f t="shared" ca="1" si="4"/>
        <v>0</v>
      </c>
      <c r="H26" s="624">
        <f t="shared" ca="1" si="4"/>
        <v>0</v>
      </c>
      <c r="I26" s="624">
        <f t="shared" ca="1" si="4"/>
        <v>0</v>
      </c>
      <c r="J26" s="624">
        <f t="shared" ca="1" si="4"/>
        <v>0</v>
      </c>
      <c r="K26" s="624">
        <f t="shared" ca="1" si="4"/>
        <v>0</v>
      </c>
      <c r="L26" s="624">
        <f t="shared" ca="1" si="4"/>
        <v>0</v>
      </c>
      <c r="M26" s="624">
        <f t="shared" ca="1" si="4"/>
        <v>0</v>
      </c>
      <c r="N26" s="624">
        <f t="shared" ca="1" si="4"/>
        <v>0</v>
      </c>
      <c r="O26" s="624">
        <f t="shared" ca="1" si="4"/>
        <v>0</v>
      </c>
    </row>
    <row r="27" spans="1:15">
      <c r="A27" s="366">
        <v>61</v>
      </c>
      <c r="B27" s="376">
        <f t="shared" si="3"/>
        <v>17</v>
      </c>
      <c r="C27" s="377" t="str">
        <f t="shared" ca="1" si="2"/>
        <v/>
      </c>
      <c r="D27" s="623">
        <f t="shared" ca="1" si="4"/>
        <v>0</v>
      </c>
      <c r="E27" s="623">
        <f t="shared" ca="1" si="4"/>
        <v>0</v>
      </c>
      <c r="F27" s="623">
        <f t="shared" ca="1" si="4"/>
        <v>0</v>
      </c>
      <c r="G27" s="623">
        <f t="shared" ca="1" si="4"/>
        <v>0</v>
      </c>
      <c r="H27" s="623">
        <f t="shared" ca="1" si="4"/>
        <v>0</v>
      </c>
      <c r="I27" s="623">
        <f t="shared" ca="1" si="4"/>
        <v>0</v>
      </c>
      <c r="J27" s="623">
        <f t="shared" ca="1" si="4"/>
        <v>0</v>
      </c>
      <c r="K27" s="623">
        <f t="shared" ca="1" si="4"/>
        <v>0</v>
      </c>
      <c r="L27" s="623">
        <f t="shared" ca="1" si="4"/>
        <v>0</v>
      </c>
      <c r="M27" s="623">
        <f t="shared" ca="1" si="4"/>
        <v>0</v>
      </c>
      <c r="N27" s="623">
        <f t="shared" ca="1" si="4"/>
        <v>0</v>
      </c>
      <c r="O27" s="623">
        <f t="shared" ca="1" si="4"/>
        <v>0</v>
      </c>
    </row>
    <row r="28" spans="1:15">
      <c r="A28" s="366">
        <v>62</v>
      </c>
      <c r="B28" s="374">
        <f t="shared" si="3"/>
        <v>18</v>
      </c>
      <c r="C28" s="375" t="str">
        <f t="shared" ca="1" si="2"/>
        <v/>
      </c>
      <c r="D28" s="624">
        <f t="shared" ca="1" si="4"/>
        <v>0</v>
      </c>
      <c r="E28" s="624">
        <f t="shared" ca="1" si="4"/>
        <v>0</v>
      </c>
      <c r="F28" s="624">
        <f t="shared" ca="1" si="4"/>
        <v>0</v>
      </c>
      <c r="G28" s="624">
        <f t="shared" ca="1" si="4"/>
        <v>0</v>
      </c>
      <c r="H28" s="624">
        <f t="shared" ca="1" si="4"/>
        <v>0</v>
      </c>
      <c r="I28" s="624">
        <f t="shared" ca="1" si="4"/>
        <v>0</v>
      </c>
      <c r="J28" s="624">
        <f t="shared" ca="1" si="4"/>
        <v>0</v>
      </c>
      <c r="K28" s="624">
        <f t="shared" ca="1" si="4"/>
        <v>0</v>
      </c>
      <c r="L28" s="624">
        <f t="shared" ca="1" si="4"/>
        <v>0</v>
      </c>
      <c r="M28" s="624">
        <f t="shared" ca="1" si="4"/>
        <v>0</v>
      </c>
      <c r="N28" s="624">
        <f t="shared" ca="1" si="4"/>
        <v>0</v>
      </c>
      <c r="O28" s="624">
        <f t="shared" ca="1" si="4"/>
        <v>0</v>
      </c>
    </row>
    <row r="29" spans="1:15">
      <c r="A29" s="366">
        <v>63</v>
      </c>
      <c r="B29" s="376">
        <f t="shared" si="3"/>
        <v>19</v>
      </c>
      <c r="C29" s="377" t="str">
        <f t="shared" ca="1" si="2"/>
        <v/>
      </c>
      <c r="D29" s="623">
        <f t="shared" ca="1" si="4"/>
        <v>0</v>
      </c>
      <c r="E29" s="623">
        <f t="shared" ca="1" si="4"/>
        <v>0</v>
      </c>
      <c r="F29" s="623">
        <f t="shared" ca="1" si="4"/>
        <v>0</v>
      </c>
      <c r="G29" s="623">
        <f t="shared" ca="1" si="4"/>
        <v>0</v>
      </c>
      <c r="H29" s="623">
        <f t="shared" ca="1" si="4"/>
        <v>0</v>
      </c>
      <c r="I29" s="623">
        <f t="shared" ca="1" si="4"/>
        <v>0</v>
      </c>
      <c r="J29" s="623">
        <f t="shared" ca="1" si="4"/>
        <v>0</v>
      </c>
      <c r="K29" s="623">
        <f t="shared" ca="1" si="4"/>
        <v>0</v>
      </c>
      <c r="L29" s="623">
        <f t="shared" ca="1" si="4"/>
        <v>0</v>
      </c>
      <c r="M29" s="623">
        <f t="shared" ca="1" si="4"/>
        <v>0</v>
      </c>
      <c r="N29" s="623">
        <f t="shared" ca="1" si="4"/>
        <v>0</v>
      </c>
      <c r="O29" s="623">
        <f t="shared" ca="1" si="4"/>
        <v>0</v>
      </c>
    </row>
    <row r="30" spans="1:15">
      <c r="A30" s="366">
        <v>64</v>
      </c>
      <c r="B30" s="374">
        <f t="shared" si="3"/>
        <v>20</v>
      </c>
      <c r="C30" s="375" t="str">
        <f t="shared" ca="1" si="2"/>
        <v/>
      </c>
      <c r="D30" s="624">
        <f t="shared" ca="1" si="4"/>
        <v>0</v>
      </c>
      <c r="E30" s="624">
        <f t="shared" ca="1" si="4"/>
        <v>0</v>
      </c>
      <c r="F30" s="624">
        <f t="shared" ca="1" si="4"/>
        <v>0</v>
      </c>
      <c r="G30" s="624">
        <f t="shared" ca="1" si="4"/>
        <v>0</v>
      </c>
      <c r="H30" s="624">
        <f t="shared" ca="1" si="4"/>
        <v>0</v>
      </c>
      <c r="I30" s="624">
        <f t="shared" ca="1" si="4"/>
        <v>0</v>
      </c>
      <c r="J30" s="624">
        <f t="shared" ca="1" si="4"/>
        <v>0</v>
      </c>
      <c r="K30" s="624">
        <f t="shared" ca="1" si="4"/>
        <v>0</v>
      </c>
      <c r="L30" s="624">
        <f t="shared" ca="1" si="4"/>
        <v>0</v>
      </c>
      <c r="M30" s="624">
        <f t="shared" ca="1" si="4"/>
        <v>0</v>
      </c>
      <c r="N30" s="624">
        <f t="shared" ca="1" si="4"/>
        <v>0</v>
      </c>
      <c r="O30" s="624">
        <f t="shared" ca="1" si="4"/>
        <v>0</v>
      </c>
    </row>
    <row r="31" spans="1:15">
      <c r="A31" s="366">
        <v>65</v>
      </c>
      <c r="B31" s="376">
        <f t="shared" si="3"/>
        <v>21</v>
      </c>
      <c r="C31" s="377" t="str">
        <f t="shared" ca="1" si="2"/>
        <v/>
      </c>
      <c r="D31" s="623">
        <f t="shared" ref="D31:O40" ca="1" si="5">INDIRECT($C$1&amp;"!"&amp;VLOOKUP(D$2,mdr,2,0)&amp;$A31)</f>
        <v>0</v>
      </c>
      <c r="E31" s="623">
        <f t="shared" ca="1" si="5"/>
        <v>0</v>
      </c>
      <c r="F31" s="623">
        <f t="shared" ca="1" si="5"/>
        <v>0</v>
      </c>
      <c r="G31" s="623">
        <f t="shared" ca="1" si="5"/>
        <v>0</v>
      </c>
      <c r="H31" s="623">
        <f t="shared" ca="1" si="5"/>
        <v>0</v>
      </c>
      <c r="I31" s="623">
        <f t="shared" ca="1" si="5"/>
        <v>0</v>
      </c>
      <c r="J31" s="623">
        <f t="shared" ca="1" si="5"/>
        <v>0</v>
      </c>
      <c r="K31" s="623">
        <f t="shared" ca="1" si="5"/>
        <v>0</v>
      </c>
      <c r="L31" s="623">
        <f t="shared" ca="1" si="5"/>
        <v>0</v>
      </c>
      <c r="M31" s="623">
        <f t="shared" ca="1" si="5"/>
        <v>0</v>
      </c>
      <c r="N31" s="623">
        <f t="shared" ca="1" si="5"/>
        <v>0</v>
      </c>
      <c r="O31" s="623">
        <f t="shared" ca="1" si="5"/>
        <v>0</v>
      </c>
    </row>
    <row r="32" spans="1:15">
      <c r="A32" s="366">
        <v>66</v>
      </c>
      <c r="B32" s="374">
        <f t="shared" si="3"/>
        <v>22</v>
      </c>
      <c r="C32" s="375" t="str">
        <f t="shared" ca="1" si="2"/>
        <v/>
      </c>
      <c r="D32" s="624">
        <f t="shared" ca="1" si="5"/>
        <v>0</v>
      </c>
      <c r="E32" s="624">
        <f t="shared" ca="1" si="5"/>
        <v>0</v>
      </c>
      <c r="F32" s="624">
        <f t="shared" ca="1" si="5"/>
        <v>0</v>
      </c>
      <c r="G32" s="624">
        <f t="shared" ca="1" si="5"/>
        <v>0</v>
      </c>
      <c r="H32" s="624">
        <f t="shared" ca="1" si="5"/>
        <v>0</v>
      </c>
      <c r="I32" s="624">
        <f t="shared" ca="1" si="5"/>
        <v>0</v>
      </c>
      <c r="J32" s="624">
        <f t="shared" ca="1" si="5"/>
        <v>0</v>
      </c>
      <c r="K32" s="624">
        <f t="shared" ca="1" si="5"/>
        <v>0</v>
      </c>
      <c r="L32" s="624">
        <f t="shared" ca="1" si="5"/>
        <v>0</v>
      </c>
      <c r="M32" s="624">
        <f t="shared" ca="1" si="5"/>
        <v>0</v>
      </c>
      <c r="N32" s="624">
        <f t="shared" ca="1" si="5"/>
        <v>0</v>
      </c>
      <c r="O32" s="624">
        <f t="shared" ca="1" si="5"/>
        <v>0</v>
      </c>
    </row>
    <row r="33" spans="1:15">
      <c r="A33" s="366">
        <v>67</v>
      </c>
      <c r="B33" s="376">
        <f t="shared" si="3"/>
        <v>23</v>
      </c>
      <c r="C33" s="377" t="str">
        <f t="shared" ca="1" si="2"/>
        <v/>
      </c>
      <c r="D33" s="623">
        <f t="shared" ca="1" si="5"/>
        <v>0</v>
      </c>
      <c r="E33" s="623">
        <f t="shared" ca="1" si="5"/>
        <v>0</v>
      </c>
      <c r="F33" s="623">
        <f t="shared" ca="1" si="5"/>
        <v>0</v>
      </c>
      <c r="G33" s="623">
        <f t="shared" ca="1" si="5"/>
        <v>0</v>
      </c>
      <c r="H33" s="623">
        <f t="shared" ca="1" si="5"/>
        <v>0</v>
      </c>
      <c r="I33" s="623">
        <f t="shared" ca="1" si="5"/>
        <v>0</v>
      </c>
      <c r="J33" s="623">
        <f t="shared" ca="1" si="5"/>
        <v>0</v>
      </c>
      <c r="K33" s="623">
        <f t="shared" ca="1" si="5"/>
        <v>0</v>
      </c>
      <c r="L33" s="623">
        <f t="shared" ca="1" si="5"/>
        <v>0</v>
      </c>
      <c r="M33" s="623">
        <f t="shared" ca="1" si="5"/>
        <v>0</v>
      </c>
      <c r="N33" s="623">
        <f t="shared" ca="1" si="5"/>
        <v>0</v>
      </c>
      <c r="O33" s="623">
        <f t="shared" ca="1" si="5"/>
        <v>0</v>
      </c>
    </row>
    <row r="34" spans="1:15">
      <c r="A34" s="366">
        <v>68</v>
      </c>
      <c r="B34" s="374">
        <f t="shared" si="3"/>
        <v>24</v>
      </c>
      <c r="C34" s="375" t="str">
        <f t="shared" ca="1" si="2"/>
        <v/>
      </c>
      <c r="D34" s="624">
        <f t="shared" ca="1" si="5"/>
        <v>0</v>
      </c>
      <c r="E34" s="624">
        <f t="shared" ca="1" si="5"/>
        <v>0</v>
      </c>
      <c r="F34" s="624">
        <f t="shared" ca="1" si="5"/>
        <v>0</v>
      </c>
      <c r="G34" s="624">
        <f t="shared" ca="1" si="5"/>
        <v>0</v>
      </c>
      <c r="H34" s="624">
        <f t="shared" ca="1" si="5"/>
        <v>0</v>
      </c>
      <c r="I34" s="624">
        <f t="shared" ca="1" si="5"/>
        <v>0</v>
      </c>
      <c r="J34" s="624">
        <f t="shared" ca="1" si="5"/>
        <v>0</v>
      </c>
      <c r="K34" s="624">
        <f t="shared" ca="1" si="5"/>
        <v>0</v>
      </c>
      <c r="L34" s="624">
        <f t="shared" ca="1" si="5"/>
        <v>0</v>
      </c>
      <c r="M34" s="624">
        <f t="shared" ca="1" si="5"/>
        <v>0</v>
      </c>
      <c r="N34" s="624">
        <f t="shared" ca="1" si="5"/>
        <v>0</v>
      </c>
      <c r="O34" s="624">
        <f t="shared" ca="1" si="5"/>
        <v>0</v>
      </c>
    </row>
    <row r="35" spans="1:15">
      <c r="A35" s="366">
        <v>69</v>
      </c>
      <c r="B35" s="376">
        <f t="shared" si="3"/>
        <v>25</v>
      </c>
      <c r="C35" s="377" t="str">
        <f t="shared" ca="1" si="2"/>
        <v/>
      </c>
      <c r="D35" s="623">
        <f t="shared" ca="1" si="5"/>
        <v>0</v>
      </c>
      <c r="E35" s="623">
        <f t="shared" ca="1" si="5"/>
        <v>0</v>
      </c>
      <c r="F35" s="623">
        <f t="shared" ca="1" si="5"/>
        <v>0</v>
      </c>
      <c r="G35" s="623">
        <f t="shared" ca="1" si="5"/>
        <v>0</v>
      </c>
      <c r="H35" s="623">
        <f t="shared" ca="1" si="5"/>
        <v>0</v>
      </c>
      <c r="I35" s="623">
        <f t="shared" ca="1" si="5"/>
        <v>0</v>
      </c>
      <c r="J35" s="623">
        <f t="shared" ca="1" si="5"/>
        <v>0</v>
      </c>
      <c r="K35" s="623">
        <f t="shared" ca="1" si="5"/>
        <v>0</v>
      </c>
      <c r="L35" s="623">
        <f t="shared" ca="1" si="5"/>
        <v>0</v>
      </c>
      <c r="M35" s="623">
        <f t="shared" ca="1" si="5"/>
        <v>0</v>
      </c>
      <c r="N35" s="623">
        <f t="shared" ca="1" si="5"/>
        <v>0</v>
      </c>
      <c r="O35" s="623">
        <f t="shared" ca="1" si="5"/>
        <v>0</v>
      </c>
    </row>
    <row r="36" spans="1:15">
      <c r="A36" s="366">
        <v>70</v>
      </c>
      <c r="B36" s="374">
        <f t="shared" si="3"/>
        <v>26</v>
      </c>
      <c r="C36" s="375" t="str">
        <f t="shared" ca="1" si="2"/>
        <v/>
      </c>
      <c r="D36" s="624">
        <f t="shared" ca="1" si="5"/>
        <v>0</v>
      </c>
      <c r="E36" s="624">
        <f t="shared" ca="1" si="5"/>
        <v>0</v>
      </c>
      <c r="F36" s="624">
        <f t="shared" ca="1" si="5"/>
        <v>0</v>
      </c>
      <c r="G36" s="624">
        <f t="shared" ca="1" si="5"/>
        <v>0</v>
      </c>
      <c r="H36" s="624">
        <f t="shared" ca="1" si="5"/>
        <v>0</v>
      </c>
      <c r="I36" s="624">
        <f t="shared" ca="1" si="5"/>
        <v>0</v>
      </c>
      <c r="J36" s="624">
        <f t="shared" ca="1" si="5"/>
        <v>0</v>
      </c>
      <c r="K36" s="624">
        <f t="shared" ca="1" si="5"/>
        <v>0</v>
      </c>
      <c r="L36" s="624">
        <f t="shared" ca="1" si="5"/>
        <v>0</v>
      </c>
      <c r="M36" s="624">
        <f t="shared" ca="1" si="5"/>
        <v>0</v>
      </c>
      <c r="N36" s="624">
        <f t="shared" ca="1" si="5"/>
        <v>0</v>
      </c>
      <c r="O36" s="624">
        <f t="shared" ca="1" si="5"/>
        <v>0</v>
      </c>
    </row>
    <row r="37" spans="1:15">
      <c r="A37" s="366">
        <v>71</v>
      </c>
      <c r="B37" s="376">
        <f>B36+1</f>
        <v>27</v>
      </c>
      <c r="C37" s="377" t="str">
        <f t="shared" ca="1" si="2"/>
        <v/>
      </c>
      <c r="D37" s="623">
        <f t="shared" ca="1" si="5"/>
        <v>0</v>
      </c>
      <c r="E37" s="623">
        <f t="shared" ca="1" si="5"/>
        <v>0</v>
      </c>
      <c r="F37" s="623">
        <f t="shared" ca="1" si="5"/>
        <v>0</v>
      </c>
      <c r="G37" s="623">
        <f t="shared" ca="1" si="5"/>
        <v>0</v>
      </c>
      <c r="H37" s="623">
        <f t="shared" ca="1" si="5"/>
        <v>0</v>
      </c>
      <c r="I37" s="623">
        <f t="shared" ca="1" si="5"/>
        <v>0</v>
      </c>
      <c r="J37" s="623">
        <f t="shared" ca="1" si="5"/>
        <v>0</v>
      </c>
      <c r="K37" s="623">
        <f t="shared" ca="1" si="5"/>
        <v>0</v>
      </c>
      <c r="L37" s="623">
        <f t="shared" ca="1" si="5"/>
        <v>0</v>
      </c>
      <c r="M37" s="623">
        <f t="shared" ca="1" si="5"/>
        <v>0</v>
      </c>
      <c r="N37" s="623">
        <f t="shared" ca="1" si="5"/>
        <v>0</v>
      </c>
      <c r="O37" s="623">
        <f t="shared" ca="1" si="5"/>
        <v>0</v>
      </c>
    </row>
    <row r="38" spans="1:15">
      <c r="A38" s="366">
        <v>72</v>
      </c>
      <c r="B38" s="374">
        <f>B37+1</f>
        <v>28</v>
      </c>
      <c r="C38" s="375" t="str">
        <f t="shared" ca="1" si="2"/>
        <v/>
      </c>
      <c r="D38" s="624">
        <f t="shared" ca="1" si="5"/>
        <v>0</v>
      </c>
      <c r="E38" s="624">
        <f t="shared" ca="1" si="5"/>
        <v>0</v>
      </c>
      <c r="F38" s="624">
        <f t="shared" ca="1" si="5"/>
        <v>0</v>
      </c>
      <c r="G38" s="624">
        <f t="shared" ca="1" si="5"/>
        <v>0</v>
      </c>
      <c r="H38" s="624">
        <f t="shared" ca="1" si="5"/>
        <v>0</v>
      </c>
      <c r="I38" s="624">
        <f t="shared" ca="1" si="5"/>
        <v>0</v>
      </c>
      <c r="J38" s="624">
        <f t="shared" ca="1" si="5"/>
        <v>0</v>
      </c>
      <c r="K38" s="624">
        <f t="shared" ca="1" si="5"/>
        <v>0</v>
      </c>
      <c r="L38" s="624">
        <f t="shared" ca="1" si="5"/>
        <v>0</v>
      </c>
      <c r="M38" s="624">
        <f t="shared" ca="1" si="5"/>
        <v>0</v>
      </c>
      <c r="N38" s="624">
        <f t="shared" ca="1" si="5"/>
        <v>0</v>
      </c>
      <c r="O38" s="624">
        <f t="shared" ca="1" si="5"/>
        <v>0</v>
      </c>
    </row>
    <row r="39" spans="1:15">
      <c r="A39" s="366">
        <v>73</v>
      </c>
      <c r="B39" s="376">
        <f t="shared" si="3"/>
        <v>29</v>
      </c>
      <c r="C39" s="620" t="str">
        <f t="shared" ca="1" si="2"/>
        <v/>
      </c>
      <c r="D39" s="625">
        <f t="shared" ca="1" si="5"/>
        <v>0</v>
      </c>
      <c r="E39" s="625">
        <f t="shared" ca="1" si="5"/>
        <v>0</v>
      </c>
      <c r="F39" s="625">
        <f t="shared" ca="1" si="5"/>
        <v>0</v>
      </c>
      <c r="G39" s="625">
        <f t="shared" ca="1" si="5"/>
        <v>0</v>
      </c>
      <c r="H39" s="625">
        <f t="shared" ca="1" si="5"/>
        <v>0</v>
      </c>
      <c r="I39" s="625">
        <f t="shared" ca="1" si="5"/>
        <v>0</v>
      </c>
      <c r="J39" s="625">
        <f t="shared" ca="1" si="5"/>
        <v>0</v>
      </c>
      <c r="K39" s="625">
        <f t="shared" ca="1" si="5"/>
        <v>0</v>
      </c>
      <c r="L39" s="625">
        <f t="shared" ca="1" si="5"/>
        <v>0</v>
      </c>
      <c r="M39" s="625">
        <f t="shared" ca="1" si="5"/>
        <v>0</v>
      </c>
      <c r="N39" s="625">
        <f t="shared" ca="1" si="5"/>
        <v>0</v>
      </c>
      <c r="O39" s="625">
        <f t="shared" ca="1" si="5"/>
        <v>0</v>
      </c>
    </row>
    <row r="40" spans="1:15">
      <c r="A40" s="366">
        <v>74</v>
      </c>
      <c r="B40" s="380">
        <f t="shared" si="3"/>
        <v>30</v>
      </c>
      <c r="C40" s="381" t="str">
        <f t="shared" ca="1" si="2"/>
        <v/>
      </c>
      <c r="D40" s="626">
        <f t="shared" ca="1" si="5"/>
        <v>0</v>
      </c>
      <c r="E40" s="626">
        <f t="shared" ca="1" si="5"/>
        <v>0</v>
      </c>
      <c r="F40" s="626">
        <f t="shared" ca="1" si="5"/>
        <v>0</v>
      </c>
      <c r="G40" s="626">
        <f t="shared" ca="1" si="5"/>
        <v>0</v>
      </c>
      <c r="H40" s="626">
        <f t="shared" ca="1" si="5"/>
        <v>0</v>
      </c>
      <c r="I40" s="626">
        <f t="shared" ca="1" si="5"/>
        <v>0</v>
      </c>
      <c r="J40" s="626">
        <f t="shared" ca="1" si="5"/>
        <v>0</v>
      </c>
      <c r="K40" s="626">
        <f t="shared" ca="1" si="5"/>
        <v>0</v>
      </c>
      <c r="L40" s="626">
        <f t="shared" ca="1" si="5"/>
        <v>0</v>
      </c>
      <c r="M40" s="626">
        <f t="shared" ca="1" si="5"/>
        <v>0</v>
      </c>
      <c r="N40" s="626">
        <f t="shared" ca="1" si="5"/>
        <v>0</v>
      </c>
      <c r="O40" s="626">
        <f t="shared" ca="1" si="5"/>
        <v>0</v>
      </c>
    </row>
    <row r="41" spans="1:15">
      <c r="A41" s="366">
        <v>75</v>
      </c>
      <c r="B41" s="382">
        <f t="shared" si="3"/>
        <v>31</v>
      </c>
      <c r="C41" s="383" t="str">
        <f t="shared" ca="1" si="2"/>
        <v/>
      </c>
      <c r="D41" s="627">
        <f t="shared" ref="D41:O50" ca="1" si="6">INDIRECT($C$1&amp;"!"&amp;VLOOKUP(D$2,mdr,2,0)&amp;$A41)</f>
        <v>0</v>
      </c>
      <c r="E41" s="627">
        <f t="shared" ca="1" si="6"/>
        <v>0</v>
      </c>
      <c r="F41" s="627">
        <f t="shared" ca="1" si="6"/>
        <v>0</v>
      </c>
      <c r="G41" s="627">
        <f t="shared" ca="1" si="6"/>
        <v>0</v>
      </c>
      <c r="H41" s="627">
        <f t="shared" ca="1" si="6"/>
        <v>0</v>
      </c>
      <c r="I41" s="627">
        <f t="shared" ca="1" si="6"/>
        <v>0</v>
      </c>
      <c r="J41" s="627">
        <f t="shared" ca="1" si="6"/>
        <v>0</v>
      </c>
      <c r="K41" s="627">
        <f t="shared" ca="1" si="6"/>
        <v>0</v>
      </c>
      <c r="L41" s="627">
        <f t="shared" ca="1" si="6"/>
        <v>0</v>
      </c>
      <c r="M41" s="627">
        <f t="shared" ca="1" si="6"/>
        <v>0</v>
      </c>
      <c r="N41" s="627">
        <f t="shared" ca="1" si="6"/>
        <v>0</v>
      </c>
      <c r="O41" s="627">
        <f t="shared" ca="1" si="6"/>
        <v>0</v>
      </c>
    </row>
    <row r="42" spans="1:15">
      <c r="A42" s="366">
        <v>76</v>
      </c>
      <c r="B42" s="380">
        <f t="shared" si="3"/>
        <v>32</v>
      </c>
      <c r="C42" s="381" t="str">
        <f t="shared" ca="1" si="2"/>
        <v/>
      </c>
      <c r="D42" s="626">
        <f t="shared" ca="1" si="6"/>
        <v>0</v>
      </c>
      <c r="E42" s="626">
        <f t="shared" ca="1" si="6"/>
        <v>0</v>
      </c>
      <c r="F42" s="626">
        <f t="shared" ca="1" si="6"/>
        <v>0</v>
      </c>
      <c r="G42" s="626">
        <f t="shared" ca="1" si="6"/>
        <v>0</v>
      </c>
      <c r="H42" s="626">
        <f t="shared" ca="1" si="6"/>
        <v>0</v>
      </c>
      <c r="I42" s="626">
        <f t="shared" ca="1" si="6"/>
        <v>0</v>
      </c>
      <c r="J42" s="626">
        <f t="shared" ca="1" si="6"/>
        <v>0</v>
      </c>
      <c r="K42" s="626">
        <f t="shared" ca="1" si="6"/>
        <v>0</v>
      </c>
      <c r="L42" s="626">
        <f t="shared" ca="1" si="6"/>
        <v>0</v>
      </c>
      <c r="M42" s="626">
        <f t="shared" ca="1" si="6"/>
        <v>0</v>
      </c>
      <c r="N42" s="626">
        <f t="shared" ca="1" si="6"/>
        <v>0</v>
      </c>
      <c r="O42" s="626">
        <f t="shared" ca="1" si="6"/>
        <v>0</v>
      </c>
    </row>
    <row r="43" spans="1:15">
      <c r="A43" s="366">
        <v>77</v>
      </c>
      <c r="B43" s="382">
        <f t="shared" si="3"/>
        <v>33</v>
      </c>
      <c r="C43" s="383" t="str">
        <f t="shared" ca="1" si="2"/>
        <v/>
      </c>
      <c r="D43" s="627">
        <f t="shared" ca="1" si="6"/>
        <v>0</v>
      </c>
      <c r="E43" s="627">
        <f t="shared" ca="1" si="6"/>
        <v>0</v>
      </c>
      <c r="F43" s="627">
        <f t="shared" ca="1" si="6"/>
        <v>0</v>
      </c>
      <c r="G43" s="627">
        <f t="shared" ca="1" si="6"/>
        <v>0</v>
      </c>
      <c r="H43" s="627">
        <f t="shared" ca="1" si="6"/>
        <v>0</v>
      </c>
      <c r="I43" s="627">
        <f t="shared" ca="1" si="6"/>
        <v>0</v>
      </c>
      <c r="J43" s="627">
        <f t="shared" ca="1" si="6"/>
        <v>0</v>
      </c>
      <c r="K43" s="627">
        <f t="shared" ca="1" si="6"/>
        <v>0</v>
      </c>
      <c r="L43" s="627">
        <f t="shared" ca="1" si="6"/>
        <v>0</v>
      </c>
      <c r="M43" s="627">
        <f t="shared" ca="1" si="6"/>
        <v>0</v>
      </c>
      <c r="N43" s="627">
        <f t="shared" ca="1" si="6"/>
        <v>0</v>
      </c>
      <c r="O43" s="627">
        <f t="shared" ca="1" si="6"/>
        <v>0</v>
      </c>
    </row>
    <row r="44" spans="1:15">
      <c r="A44" s="366">
        <v>78</v>
      </c>
      <c r="B44" s="380">
        <f t="shared" si="3"/>
        <v>34</v>
      </c>
      <c r="C44" s="381" t="str">
        <f t="shared" ca="1" si="2"/>
        <v/>
      </c>
      <c r="D44" s="626">
        <f t="shared" ca="1" si="6"/>
        <v>0</v>
      </c>
      <c r="E44" s="626">
        <f t="shared" ca="1" si="6"/>
        <v>0</v>
      </c>
      <c r="F44" s="626">
        <f t="shared" ca="1" si="6"/>
        <v>0</v>
      </c>
      <c r="G44" s="626">
        <f t="shared" ca="1" si="6"/>
        <v>0</v>
      </c>
      <c r="H44" s="626">
        <f t="shared" ca="1" si="6"/>
        <v>0</v>
      </c>
      <c r="I44" s="626">
        <f t="shared" ca="1" si="6"/>
        <v>0</v>
      </c>
      <c r="J44" s="626">
        <f t="shared" ca="1" si="6"/>
        <v>0</v>
      </c>
      <c r="K44" s="626">
        <f t="shared" ca="1" si="6"/>
        <v>0</v>
      </c>
      <c r="L44" s="626">
        <f t="shared" ca="1" si="6"/>
        <v>0</v>
      </c>
      <c r="M44" s="626">
        <f t="shared" ca="1" si="6"/>
        <v>0</v>
      </c>
      <c r="N44" s="626">
        <f t="shared" ca="1" si="6"/>
        <v>0</v>
      </c>
      <c r="O44" s="626">
        <f t="shared" ca="1" si="6"/>
        <v>0</v>
      </c>
    </row>
    <row r="45" spans="1:15">
      <c r="A45" s="366">
        <v>79</v>
      </c>
      <c r="B45" s="382">
        <f t="shared" si="3"/>
        <v>35</v>
      </c>
      <c r="C45" s="383" t="str">
        <f t="shared" ca="1" si="2"/>
        <v/>
      </c>
      <c r="D45" s="627">
        <f t="shared" ca="1" si="6"/>
        <v>0</v>
      </c>
      <c r="E45" s="627">
        <f t="shared" ca="1" si="6"/>
        <v>0</v>
      </c>
      <c r="F45" s="627">
        <f t="shared" ca="1" si="6"/>
        <v>0</v>
      </c>
      <c r="G45" s="627">
        <f t="shared" ca="1" si="6"/>
        <v>0</v>
      </c>
      <c r="H45" s="627">
        <f t="shared" ca="1" si="6"/>
        <v>0</v>
      </c>
      <c r="I45" s="627">
        <f t="shared" ca="1" si="6"/>
        <v>0</v>
      </c>
      <c r="J45" s="627">
        <f t="shared" ca="1" si="6"/>
        <v>0</v>
      </c>
      <c r="K45" s="627">
        <f t="shared" ca="1" si="6"/>
        <v>0</v>
      </c>
      <c r="L45" s="627">
        <f t="shared" ca="1" si="6"/>
        <v>0</v>
      </c>
      <c r="M45" s="627">
        <f t="shared" ca="1" si="6"/>
        <v>0</v>
      </c>
      <c r="N45" s="627">
        <f t="shared" ca="1" si="6"/>
        <v>0</v>
      </c>
      <c r="O45" s="627">
        <f t="shared" ca="1" si="6"/>
        <v>0</v>
      </c>
    </row>
    <row r="46" spans="1:15">
      <c r="A46" s="366">
        <v>80</v>
      </c>
      <c r="B46" s="380">
        <f t="shared" si="3"/>
        <v>36</v>
      </c>
      <c r="C46" s="381" t="str">
        <f t="shared" ca="1" si="2"/>
        <v/>
      </c>
      <c r="D46" s="626">
        <f t="shared" ca="1" si="6"/>
        <v>0</v>
      </c>
      <c r="E46" s="626">
        <f t="shared" ca="1" si="6"/>
        <v>0</v>
      </c>
      <c r="F46" s="626">
        <f t="shared" ca="1" si="6"/>
        <v>0</v>
      </c>
      <c r="G46" s="626">
        <f t="shared" ca="1" si="6"/>
        <v>0</v>
      </c>
      <c r="H46" s="626">
        <f t="shared" ca="1" si="6"/>
        <v>0</v>
      </c>
      <c r="I46" s="626">
        <f t="shared" ca="1" si="6"/>
        <v>0</v>
      </c>
      <c r="J46" s="626">
        <f t="shared" ca="1" si="6"/>
        <v>0</v>
      </c>
      <c r="K46" s="626">
        <f t="shared" ca="1" si="6"/>
        <v>0</v>
      </c>
      <c r="L46" s="626">
        <f t="shared" ca="1" si="6"/>
        <v>0</v>
      </c>
      <c r="M46" s="626">
        <f t="shared" ca="1" si="6"/>
        <v>0</v>
      </c>
      <c r="N46" s="626">
        <f t="shared" ca="1" si="6"/>
        <v>0</v>
      </c>
      <c r="O46" s="626">
        <f t="shared" ca="1" si="6"/>
        <v>0</v>
      </c>
    </row>
    <row r="47" spans="1:15">
      <c r="A47" s="366">
        <v>81</v>
      </c>
      <c r="B47" s="382">
        <f t="shared" si="3"/>
        <v>37</v>
      </c>
      <c r="C47" s="383" t="str">
        <f t="shared" ca="1" si="2"/>
        <v/>
      </c>
      <c r="D47" s="627">
        <f t="shared" ca="1" si="6"/>
        <v>0</v>
      </c>
      <c r="E47" s="627">
        <f t="shared" ca="1" si="6"/>
        <v>0</v>
      </c>
      <c r="F47" s="627">
        <f t="shared" ca="1" si="6"/>
        <v>0</v>
      </c>
      <c r="G47" s="627">
        <f t="shared" ca="1" si="6"/>
        <v>0</v>
      </c>
      <c r="H47" s="627">
        <f t="shared" ca="1" si="6"/>
        <v>0</v>
      </c>
      <c r="I47" s="627">
        <f t="shared" ca="1" si="6"/>
        <v>0</v>
      </c>
      <c r="J47" s="627">
        <f t="shared" ca="1" si="6"/>
        <v>0</v>
      </c>
      <c r="K47" s="627">
        <f t="shared" ca="1" si="6"/>
        <v>0</v>
      </c>
      <c r="L47" s="627">
        <f t="shared" ca="1" si="6"/>
        <v>0</v>
      </c>
      <c r="M47" s="627">
        <f t="shared" ca="1" si="6"/>
        <v>0</v>
      </c>
      <c r="N47" s="627">
        <f t="shared" ca="1" si="6"/>
        <v>0</v>
      </c>
      <c r="O47" s="627">
        <f t="shared" ca="1" si="6"/>
        <v>0</v>
      </c>
    </row>
    <row r="48" spans="1:15">
      <c r="A48" s="366">
        <v>82</v>
      </c>
      <c r="B48" s="380">
        <f t="shared" si="3"/>
        <v>38</v>
      </c>
      <c r="C48" s="381" t="str">
        <f t="shared" ca="1" si="2"/>
        <v/>
      </c>
      <c r="D48" s="626">
        <f t="shared" ca="1" si="6"/>
        <v>0</v>
      </c>
      <c r="E48" s="626">
        <f t="shared" ca="1" si="6"/>
        <v>0</v>
      </c>
      <c r="F48" s="626">
        <f t="shared" ca="1" si="6"/>
        <v>0</v>
      </c>
      <c r="G48" s="626">
        <f t="shared" ca="1" si="6"/>
        <v>0</v>
      </c>
      <c r="H48" s="626">
        <f t="shared" ca="1" si="6"/>
        <v>0</v>
      </c>
      <c r="I48" s="626">
        <f t="shared" ca="1" si="6"/>
        <v>0</v>
      </c>
      <c r="J48" s="626">
        <f t="shared" ca="1" si="6"/>
        <v>0</v>
      </c>
      <c r="K48" s="626">
        <f t="shared" ca="1" si="6"/>
        <v>0</v>
      </c>
      <c r="L48" s="626">
        <f t="shared" ca="1" si="6"/>
        <v>0</v>
      </c>
      <c r="M48" s="626">
        <f t="shared" ca="1" si="6"/>
        <v>0</v>
      </c>
      <c r="N48" s="626">
        <f t="shared" ca="1" si="6"/>
        <v>0</v>
      </c>
      <c r="O48" s="626">
        <f t="shared" ca="1" si="6"/>
        <v>0</v>
      </c>
    </row>
    <row r="49" spans="1:15">
      <c r="A49" s="366">
        <v>83</v>
      </c>
      <c r="B49" s="382">
        <f t="shared" si="3"/>
        <v>39</v>
      </c>
      <c r="C49" s="383" t="str">
        <f t="shared" ca="1" si="2"/>
        <v/>
      </c>
      <c r="D49" s="627">
        <f t="shared" ca="1" si="6"/>
        <v>0</v>
      </c>
      <c r="E49" s="627">
        <f t="shared" ca="1" si="6"/>
        <v>0</v>
      </c>
      <c r="F49" s="627">
        <f t="shared" ca="1" si="6"/>
        <v>0</v>
      </c>
      <c r="G49" s="627">
        <f t="shared" ca="1" si="6"/>
        <v>0</v>
      </c>
      <c r="H49" s="627">
        <f t="shared" ca="1" si="6"/>
        <v>0</v>
      </c>
      <c r="I49" s="627">
        <f t="shared" ca="1" si="6"/>
        <v>0</v>
      </c>
      <c r="J49" s="627">
        <f t="shared" ca="1" si="6"/>
        <v>0</v>
      </c>
      <c r="K49" s="627">
        <f t="shared" ca="1" si="6"/>
        <v>0</v>
      </c>
      <c r="L49" s="627">
        <f t="shared" ca="1" si="6"/>
        <v>0</v>
      </c>
      <c r="M49" s="627">
        <f t="shared" ca="1" si="6"/>
        <v>0</v>
      </c>
      <c r="N49" s="627">
        <f t="shared" ca="1" si="6"/>
        <v>0</v>
      </c>
      <c r="O49" s="627">
        <f t="shared" ca="1" si="6"/>
        <v>0</v>
      </c>
    </row>
    <row r="50" spans="1:15">
      <c r="A50" s="366">
        <v>84</v>
      </c>
      <c r="B50" s="380">
        <f t="shared" si="3"/>
        <v>40</v>
      </c>
      <c r="C50" s="381" t="str">
        <f t="shared" ca="1" si="2"/>
        <v/>
      </c>
      <c r="D50" s="626">
        <f t="shared" ca="1" si="6"/>
        <v>0</v>
      </c>
      <c r="E50" s="626">
        <f t="shared" ca="1" si="6"/>
        <v>0</v>
      </c>
      <c r="F50" s="626">
        <f t="shared" ca="1" si="6"/>
        <v>0</v>
      </c>
      <c r="G50" s="626">
        <f t="shared" ca="1" si="6"/>
        <v>0</v>
      </c>
      <c r="H50" s="626">
        <f t="shared" ca="1" si="6"/>
        <v>0</v>
      </c>
      <c r="I50" s="626">
        <f t="shared" ca="1" si="6"/>
        <v>0</v>
      </c>
      <c r="J50" s="626">
        <f t="shared" ca="1" si="6"/>
        <v>0</v>
      </c>
      <c r="K50" s="626">
        <f t="shared" ca="1" si="6"/>
        <v>0</v>
      </c>
      <c r="L50" s="626">
        <f t="shared" ca="1" si="6"/>
        <v>0</v>
      </c>
      <c r="M50" s="626">
        <f t="shared" ca="1" si="6"/>
        <v>0</v>
      </c>
      <c r="N50" s="626">
        <f t="shared" ca="1" si="6"/>
        <v>0</v>
      </c>
      <c r="O50" s="626">
        <f t="shared" ca="1" si="6"/>
        <v>0</v>
      </c>
    </row>
    <row r="51" spans="1:15">
      <c r="A51" s="366">
        <v>85</v>
      </c>
      <c r="B51" s="382">
        <f t="shared" si="3"/>
        <v>41</v>
      </c>
      <c r="C51" s="383" t="str">
        <f t="shared" ca="1" si="2"/>
        <v/>
      </c>
      <c r="D51" s="627">
        <f t="shared" ref="D51:O60" ca="1" si="7">INDIRECT($C$1&amp;"!"&amp;VLOOKUP(D$2,mdr,2,0)&amp;$A51)</f>
        <v>0</v>
      </c>
      <c r="E51" s="627">
        <f t="shared" ca="1" si="7"/>
        <v>0</v>
      </c>
      <c r="F51" s="627">
        <f t="shared" ca="1" si="7"/>
        <v>0</v>
      </c>
      <c r="G51" s="627">
        <f t="shared" ca="1" si="7"/>
        <v>0</v>
      </c>
      <c r="H51" s="627">
        <f t="shared" ca="1" si="7"/>
        <v>0</v>
      </c>
      <c r="I51" s="627">
        <f t="shared" ca="1" si="7"/>
        <v>0</v>
      </c>
      <c r="J51" s="627">
        <f t="shared" ca="1" si="7"/>
        <v>0</v>
      </c>
      <c r="K51" s="627">
        <f t="shared" ca="1" si="7"/>
        <v>0</v>
      </c>
      <c r="L51" s="627">
        <f t="shared" ca="1" si="7"/>
        <v>0</v>
      </c>
      <c r="M51" s="627">
        <f t="shared" ca="1" si="7"/>
        <v>0</v>
      </c>
      <c r="N51" s="627">
        <f t="shared" ca="1" si="7"/>
        <v>0</v>
      </c>
      <c r="O51" s="627">
        <f t="shared" ca="1" si="7"/>
        <v>0</v>
      </c>
    </row>
    <row r="52" spans="1:15">
      <c r="A52" s="366">
        <v>86</v>
      </c>
      <c r="B52" s="380">
        <f t="shared" si="3"/>
        <v>42</v>
      </c>
      <c r="C52" s="381" t="str">
        <f t="shared" ca="1" si="2"/>
        <v/>
      </c>
      <c r="D52" s="626">
        <f t="shared" ca="1" si="7"/>
        <v>0</v>
      </c>
      <c r="E52" s="626">
        <f t="shared" ca="1" si="7"/>
        <v>0</v>
      </c>
      <c r="F52" s="626">
        <f t="shared" ca="1" si="7"/>
        <v>0</v>
      </c>
      <c r="G52" s="626">
        <f t="shared" ca="1" si="7"/>
        <v>0</v>
      </c>
      <c r="H52" s="626">
        <f t="shared" ca="1" si="7"/>
        <v>0</v>
      </c>
      <c r="I52" s="626">
        <f t="shared" ca="1" si="7"/>
        <v>0</v>
      </c>
      <c r="J52" s="626">
        <f t="shared" ca="1" si="7"/>
        <v>0</v>
      </c>
      <c r="K52" s="626">
        <f t="shared" ca="1" si="7"/>
        <v>0</v>
      </c>
      <c r="L52" s="626">
        <f t="shared" ca="1" si="7"/>
        <v>0</v>
      </c>
      <c r="M52" s="626">
        <f t="shared" ca="1" si="7"/>
        <v>0</v>
      </c>
      <c r="N52" s="626">
        <f t="shared" ca="1" si="7"/>
        <v>0</v>
      </c>
      <c r="O52" s="626">
        <f t="shared" ca="1" si="7"/>
        <v>0</v>
      </c>
    </row>
    <row r="53" spans="1:15">
      <c r="A53" s="366">
        <v>87</v>
      </c>
      <c r="B53" s="382">
        <f t="shared" si="3"/>
        <v>43</v>
      </c>
      <c r="C53" s="383" t="str">
        <f t="shared" ca="1" si="2"/>
        <v/>
      </c>
      <c r="D53" s="627">
        <f t="shared" ca="1" si="7"/>
        <v>0</v>
      </c>
      <c r="E53" s="627">
        <f t="shared" ca="1" si="7"/>
        <v>0</v>
      </c>
      <c r="F53" s="627">
        <f t="shared" ca="1" si="7"/>
        <v>0</v>
      </c>
      <c r="G53" s="627">
        <f t="shared" ca="1" si="7"/>
        <v>0</v>
      </c>
      <c r="H53" s="627">
        <f t="shared" ca="1" si="7"/>
        <v>0</v>
      </c>
      <c r="I53" s="627">
        <f t="shared" ca="1" si="7"/>
        <v>0</v>
      </c>
      <c r="J53" s="627">
        <f t="shared" ca="1" si="7"/>
        <v>0</v>
      </c>
      <c r="K53" s="627">
        <f t="shared" ca="1" si="7"/>
        <v>0</v>
      </c>
      <c r="L53" s="627">
        <f t="shared" ca="1" si="7"/>
        <v>0</v>
      </c>
      <c r="M53" s="627">
        <f t="shared" ca="1" si="7"/>
        <v>0</v>
      </c>
      <c r="N53" s="627">
        <f t="shared" ca="1" si="7"/>
        <v>0</v>
      </c>
      <c r="O53" s="627">
        <f t="shared" ca="1" si="7"/>
        <v>0</v>
      </c>
    </row>
    <row r="54" spans="1:15">
      <c r="A54" s="366">
        <v>88</v>
      </c>
      <c r="B54" s="380">
        <f t="shared" si="3"/>
        <v>44</v>
      </c>
      <c r="C54" s="381" t="str">
        <f t="shared" ca="1" si="2"/>
        <v/>
      </c>
      <c r="D54" s="626">
        <f t="shared" ca="1" si="7"/>
        <v>0</v>
      </c>
      <c r="E54" s="626">
        <f t="shared" ca="1" si="7"/>
        <v>0</v>
      </c>
      <c r="F54" s="626">
        <f t="shared" ca="1" si="7"/>
        <v>0</v>
      </c>
      <c r="G54" s="626">
        <f t="shared" ca="1" si="7"/>
        <v>0</v>
      </c>
      <c r="H54" s="626">
        <f t="shared" ca="1" si="7"/>
        <v>0</v>
      </c>
      <c r="I54" s="626">
        <f t="shared" ca="1" si="7"/>
        <v>0</v>
      </c>
      <c r="J54" s="626">
        <f t="shared" ca="1" si="7"/>
        <v>0</v>
      </c>
      <c r="K54" s="626">
        <f t="shared" ca="1" si="7"/>
        <v>0</v>
      </c>
      <c r="L54" s="626">
        <f t="shared" ca="1" si="7"/>
        <v>0</v>
      </c>
      <c r="M54" s="626">
        <f t="shared" ca="1" si="7"/>
        <v>0</v>
      </c>
      <c r="N54" s="626">
        <f t="shared" ca="1" si="7"/>
        <v>0</v>
      </c>
      <c r="O54" s="626">
        <f t="shared" ca="1" si="7"/>
        <v>0</v>
      </c>
    </row>
    <row r="55" spans="1:15">
      <c r="A55" s="366">
        <v>89</v>
      </c>
      <c r="B55" s="384">
        <f t="shared" si="3"/>
        <v>45</v>
      </c>
      <c r="C55" s="621" t="str">
        <f t="shared" ca="1" si="2"/>
        <v/>
      </c>
      <c r="D55" s="628">
        <f t="shared" ca="1" si="7"/>
        <v>0</v>
      </c>
      <c r="E55" s="628">
        <f t="shared" ca="1" si="7"/>
        <v>0</v>
      </c>
      <c r="F55" s="628">
        <f t="shared" ca="1" si="7"/>
        <v>0</v>
      </c>
      <c r="G55" s="628">
        <f t="shared" ca="1" si="7"/>
        <v>0</v>
      </c>
      <c r="H55" s="628">
        <f t="shared" ca="1" si="7"/>
        <v>0</v>
      </c>
      <c r="I55" s="628">
        <f t="shared" ca="1" si="7"/>
        <v>0</v>
      </c>
      <c r="J55" s="628">
        <f t="shared" ca="1" si="7"/>
        <v>0</v>
      </c>
      <c r="K55" s="628">
        <f t="shared" ca="1" si="7"/>
        <v>0</v>
      </c>
      <c r="L55" s="628">
        <f t="shared" ca="1" si="7"/>
        <v>0</v>
      </c>
      <c r="M55" s="628">
        <f t="shared" ca="1" si="7"/>
        <v>0</v>
      </c>
      <c r="N55" s="628">
        <f t="shared" ca="1" si="7"/>
        <v>0</v>
      </c>
      <c r="O55" s="628">
        <f t="shared" ca="1" si="7"/>
        <v>0</v>
      </c>
    </row>
    <row r="56" spans="1:15">
      <c r="A56" s="366">
        <v>90</v>
      </c>
      <c r="B56" s="386">
        <f t="shared" si="3"/>
        <v>46</v>
      </c>
      <c r="C56" s="387" t="str">
        <f t="shared" ca="1" si="2"/>
        <v/>
      </c>
      <c r="D56" s="629">
        <f t="shared" ca="1" si="7"/>
        <v>0</v>
      </c>
      <c r="E56" s="629">
        <f t="shared" ca="1" si="7"/>
        <v>0</v>
      </c>
      <c r="F56" s="629">
        <f t="shared" ca="1" si="7"/>
        <v>0</v>
      </c>
      <c r="G56" s="629">
        <f t="shared" ca="1" si="7"/>
        <v>0</v>
      </c>
      <c r="H56" s="629">
        <f t="shared" ca="1" si="7"/>
        <v>0</v>
      </c>
      <c r="I56" s="629">
        <f t="shared" ca="1" si="7"/>
        <v>0</v>
      </c>
      <c r="J56" s="629">
        <f t="shared" ca="1" si="7"/>
        <v>0</v>
      </c>
      <c r="K56" s="629">
        <f t="shared" ca="1" si="7"/>
        <v>0</v>
      </c>
      <c r="L56" s="629">
        <f t="shared" ca="1" si="7"/>
        <v>0</v>
      </c>
      <c r="M56" s="629">
        <f t="shared" ca="1" si="7"/>
        <v>0</v>
      </c>
      <c r="N56" s="629">
        <f t="shared" ca="1" si="7"/>
        <v>0</v>
      </c>
      <c r="O56" s="629">
        <f t="shared" ca="1" si="7"/>
        <v>0</v>
      </c>
    </row>
    <row r="57" spans="1:15">
      <c r="A57" s="366">
        <v>91</v>
      </c>
      <c r="B57" s="388">
        <f t="shared" si="3"/>
        <v>47</v>
      </c>
      <c r="C57" s="389" t="str">
        <f t="shared" ca="1" si="2"/>
        <v/>
      </c>
      <c r="D57" s="630">
        <f t="shared" ca="1" si="7"/>
        <v>0</v>
      </c>
      <c r="E57" s="630">
        <f t="shared" ca="1" si="7"/>
        <v>0</v>
      </c>
      <c r="F57" s="630">
        <f t="shared" ca="1" si="7"/>
        <v>0</v>
      </c>
      <c r="G57" s="630">
        <f t="shared" ca="1" si="7"/>
        <v>0</v>
      </c>
      <c r="H57" s="630">
        <f t="shared" ca="1" si="7"/>
        <v>0</v>
      </c>
      <c r="I57" s="630">
        <f t="shared" ca="1" si="7"/>
        <v>0</v>
      </c>
      <c r="J57" s="630">
        <f t="shared" ca="1" si="7"/>
        <v>0</v>
      </c>
      <c r="K57" s="630">
        <f t="shared" ca="1" si="7"/>
        <v>0</v>
      </c>
      <c r="L57" s="630">
        <f t="shared" ca="1" si="7"/>
        <v>0</v>
      </c>
      <c r="M57" s="630">
        <f t="shared" ca="1" si="7"/>
        <v>0</v>
      </c>
      <c r="N57" s="630">
        <f t="shared" ca="1" si="7"/>
        <v>0</v>
      </c>
      <c r="O57" s="630">
        <f t="shared" ca="1" si="7"/>
        <v>0</v>
      </c>
    </row>
    <row r="58" spans="1:15">
      <c r="A58" s="366">
        <v>92</v>
      </c>
      <c r="B58" s="386">
        <f t="shared" si="3"/>
        <v>48</v>
      </c>
      <c r="C58" s="387" t="str">
        <f t="shared" ca="1" si="2"/>
        <v/>
      </c>
      <c r="D58" s="629">
        <f t="shared" ca="1" si="7"/>
        <v>0</v>
      </c>
      <c r="E58" s="629">
        <f t="shared" ca="1" si="7"/>
        <v>0</v>
      </c>
      <c r="F58" s="629">
        <f t="shared" ca="1" si="7"/>
        <v>0</v>
      </c>
      <c r="G58" s="629">
        <f t="shared" ca="1" si="7"/>
        <v>0</v>
      </c>
      <c r="H58" s="629">
        <f t="shared" ca="1" si="7"/>
        <v>0</v>
      </c>
      <c r="I58" s="629">
        <f t="shared" ca="1" si="7"/>
        <v>0</v>
      </c>
      <c r="J58" s="629">
        <f t="shared" ca="1" si="7"/>
        <v>0</v>
      </c>
      <c r="K58" s="629">
        <f t="shared" ca="1" si="7"/>
        <v>0</v>
      </c>
      <c r="L58" s="629">
        <f t="shared" ca="1" si="7"/>
        <v>0</v>
      </c>
      <c r="M58" s="629">
        <f t="shared" ca="1" si="7"/>
        <v>0</v>
      </c>
      <c r="N58" s="629">
        <f t="shared" ca="1" si="7"/>
        <v>0</v>
      </c>
      <c r="O58" s="629">
        <f t="shared" ca="1" si="7"/>
        <v>0</v>
      </c>
    </row>
    <row r="59" spans="1:15">
      <c r="A59" s="366">
        <v>93</v>
      </c>
      <c r="B59" s="388">
        <f t="shared" si="3"/>
        <v>49</v>
      </c>
      <c r="C59" s="389" t="str">
        <f t="shared" ca="1" si="2"/>
        <v/>
      </c>
      <c r="D59" s="630">
        <f t="shared" ca="1" si="7"/>
        <v>0</v>
      </c>
      <c r="E59" s="630">
        <f t="shared" ca="1" si="7"/>
        <v>0</v>
      </c>
      <c r="F59" s="630">
        <f t="shared" ca="1" si="7"/>
        <v>0</v>
      </c>
      <c r="G59" s="630">
        <f t="shared" ca="1" si="7"/>
        <v>0</v>
      </c>
      <c r="H59" s="630">
        <f t="shared" ca="1" si="7"/>
        <v>0</v>
      </c>
      <c r="I59" s="630">
        <f t="shared" ca="1" si="7"/>
        <v>0</v>
      </c>
      <c r="J59" s="630">
        <f t="shared" ca="1" si="7"/>
        <v>0</v>
      </c>
      <c r="K59" s="630">
        <f t="shared" ca="1" si="7"/>
        <v>0</v>
      </c>
      <c r="L59" s="630">
        <f t="shared" ca="1" si="7"/>
        <v>0</v>
      </c>
      <c r="M59" s="630">
        <f t="shared" ca="1" si="7"/>
        <v>0</v>
      </c>
      <c r="N59" s="630">
        <f t="shared" ca="1" si="7"/>
        <v>0</v>
      </c>
      <c r="O59" s="630">
        <f t="shared" ca="1" si="7"/>
        <v>0</v>
      </c>
    </row>
    <row r="60" spans="1:15">
      <c r="A60" s="366">
        <v>94</v>
      </c>
      <c r="B60" s="386">
        <f t="shared" si="3"/>
        <v>50</v>
      </c>
      <c r="C60" s="387" t="str">
        <f t="shared" ca="1" si="2"/>
        <v/>
      </c>
      <c r="D60" s="629">
        <f t="shared" ca="1" si="7"/>
        <v>0</v>
      </c>
      <c r="E60" s="629">
        <f t="shared" ca="1" si="7"/>
        <v>0</v>
      </c>
      <c r="F60" s="629">
        <f t="shared" ca="1" si="7"/>
        <v>0</v>
      </c>
      <c r="G60" s="629">
        <f t="shared" ca="1" si="7"/>
        <v>0</v>
      </c>
      <c r="H60" s="629">
        <f t="shared" ca="1" si="7"/>
        <v>0</v>
      </c>
      <c r="I60" s="629">
        <f t="shared" ca="1" si="7"/>
        <v>0</v>
      </c>
      <c r="J60" s="629">
        <f t="shared" ca="1" si="7"/>
        <v>0</v>
      </c>
      <c r="K60" s="629">
        <f t="shared" ca="1" si="7"/>
        <v>0</v>
      </c>
      <c r="L60" s="629">
        <f t="shared" ca="1" si="7"/>
        <v>0</v>
      </c>
      <c r="M60" s="629">
        <f t="shared" ca="1" si="7"/>
        <v>0</v>
      </c>
      <c r="N60" s="629">
        <f t="shared" ca="1" si="7"/>
        <v>0</v>
      </c>
      <c r="O60" s="629">
        <f t="shared" ca="1" si="7"/>
        <v>0</v>
      </c>
    </row>
    <row r="61" spans="1:15" s="365" customFormat="1">
      <c r="A61" s="521">
        <v>27</v>
      </c>
      <c r="B61" s="388">
        <f t="shared" si="3"/>
        <v>51</v>
      </c>
      <c r="C61" s="390" t="str">
        <f t="shared" ca="1" si="2"/>
        <v/>
      </c>
      <c r="D61" s="631">
        <f t="shared" ref="D61:O71" ca="1" si="8">INDIRECT($C$1&amp;"!"&amp;VLOOKUP(D$2,mdr,2,0)&amp;$A61)</f>
        <v>0</v>
      </c>
      <c r="E61" s="631">
        <f t="shared" ca="1" si="8"/>
        <v>0</v>
      </c>
      <c r="F61" s="631">
        <f t="shared" ca="1" si="8"/>
        <v>0</v>
      </c>
      <c r="G61" s="631">
        <f t="shared" ca="1" si="8"/>
        <v>0</v>
      </c>
      <c r="H61" s="631">
        <f t="shared" ca="1" si="8"/>
        <v>0</v>
      </c>
      <c r="I61" s="631">
        <f t="shared" ca="1" si="8"/>
        <v>0</v>
      </c>
      <c r="J61" s="631">
        <f t="shared" ca="1" si="8"/>
        <v>0</v>
      </c>
      <c r="K61" s="631">
        <f t="shared" ca="1" si="8"/>
        <v>0</v>
      </c>
      <c r="L61" s="631">
        <f t="shared" ca="1" si="8"/>
        <v>0</v>
      </c>
      <c r="M61" s="631">
        <f t="shared" ca="1" si="8"/>
        <v>0</v>
      </c>
      <c r="N61" s="631">
        <f t="shared" ca="1" si="8"/>
        <v>0</v>
      </c>
      <c r="O61" s="631">
        <f t="shared" ca="1" si="8"/>
        <v>0</v>
      </c>
    </row>
    <row r="62" spans="1:15">
      <c r="A62" s="521">
        <v>26</v>
      </c>
      <c r="B62" s="386">
        <f t="shared" si="3"/>
        <v>52</v>
      </c>
      <c r="C62" s="391" t="str">
        <f t="shared" ca="1" si="2"/>
        <v/>
      </c>
      <c r="D62" s="632">
        <f t="shared" ca="1" si="8"/>
        <v>0</v>
      </c>
      <c r="E62" s="632">
        <f t="shared" ca="1" si="8"/>
        <v>0</v>
      </c>
      <c r="F62" s="632">
        <f t="shared" ca="1" si="8"/>
        <v>0</v>
      </c>
      <c r="G62" s="632">
        <f t="shared" ca="1" si="8"/>
        <v>0</v>
      </c>
      <c r="H62" s="632">
        <f t="shared" ca="1" si="8"/>
        <v>0</v>
      </c>
      <c r="I62" s="632">
        <f t="shared" ca="1" si="8"/>
        <v>0</v>
      </c>
      <c r="J62" s="632">
        <f t="shared" ca="1" si="8"/>
        <v>0</v>
      </c>
      <c r="K62" s="632">
        <f t="shared" ca="1" si="8"/>
        <v>0</v>
      </c>
      <c r="L62" s="632">
        <f t="shared" ca="1" si="8"/>
        <v>0</v>
      </c>
      <c r="M62" s="632">
        <f t="shared" ca="1" si="8"/>
        <v>0</v>
      </c>
      <c r="N62" s="632">
        <f t="shared" ca="1" si="8"/>
        <v>0</v>
      </c>
      <c r="O62" s="632">
        <f t="shared" ca="1" si="8"/>
        <v>0</v>
      </c>
    </row>
    <row r="63" spans="1:15">
      <c r="A63" s="521">
        <v>95</v>
      </c>
      <c r="B63" s="388">
        <f t="shared" si="3"/>
        <v>53</v>
      </c>
      <c r="C63" s="389" t="str">
        <f t="shared" ca="1" si="2"/>
        <v/>
      </c>
      <c r="D63" s="630">
        <f t="shared" ca="1" si="8"/>
        <v>0</v>
      </c>
      <c r="E63" s="630">
        <f t="shared" ca="1" si="8"/>
        <v>0</v>
      </c>
      <c r="F63" s="630">
        <f t="shared" ca="1" si="8"/>
        <v>0</v>
      </c>
      <c r="G63" s="630">
        <f t="shared" ca="1" si="8"/>
        <v>0</v>
      </c>
      <c r="H63" s="630">
        <f t="shared" ca="1" si="8"/>
        <v>0</v>
      </c>
      <c r="I63" s="630">
        <f t="shared" ca="1" si="8"/>
        <v>0</v>
      </c>
      <c r="J63" s="630">
        <f t="shared" ca="1" si="8"/>
        <v>0</v>
      </c>
      <c r="K63" s="630">
        <f t="shared" ca="1" si="8"/>
        <v>0</v>
      </c>
      <c r="L63" s="630">
        <f t="shared" ca="1" si="8"/>
        <v>0</v>
      </c>
      <c r="M63" s="630">
        <f t="shared" ca="1" si="8"/>
        <v>0</v>
      </c>
      <c r="N63" s="630">
        <f t="shared" ca="1" si="8"/>
        <v>0</v>
      </c>
      <c r="O63" s="630">
        <f t="shared" ca="1" si="8"/>
        <v>0</v>
      </c>
    </row>
    <row r="64" spans="1:15">
      <c r="A64" s="366">
        <v>98</v>
      </c>
      <c r="B64" s="386">
        <f t="shared" si="3"/>
        <v>54</v>
      </c>
      <c r="C64" s="387" t="str">
        <f t="shared" ca="1" si="2"/>
        <v/>
      </c>
      <c r="D64" s="629">
        <f t="shared" ca="1" si="8"/>
        <v>0</v>
      </c>
      <c r="E64" s="629">
        <f t="shared" ca="1" si="8"/>
        <v>0</v>
      </c>
      <c r="F64" s="629">
        <f t="shared" ca="1" si="8"/>
        <v>0</v>
      </c>
      <c r="G64" s="629">
        <f t="shared" ca="1" si="8"/>
        <v>0</v>
      </c>
      <c r="H64" s="629">
        <f t="shared" ca="1" si="8"/>
        <v>0</v>
      </c>
      <c r="I64" s="629">
        <f t="shared" ca="1" si="8"/>
        <v>0</v>
      </c>
      <c r="J64" s="629">
        <f t="shared" ca="1" si="8"/>
        <v>0</v>
      </c>
      <c r="K64" s="629">
        <f t="shared" ca="1" si="8"/>
        <v>0</v>
      </c>
      <c r="L64" s="629">
        <f t="shared" ca="1" si="8"/>
        <v>0</v>
      </c>
      <c r="M64" s="629">
        <f t="shared" ca="1" si="8"/>
        <v>0</v>
      </c>
      <c r="N64" s="629">
        <f t="shared" ca="1" si="8"/>
        <v>0</v>
      </c>
      <c r="O64" s="629">
        <f t="shared" ca="1" si="8"/>
        <v>0</v>
      </c>
    </row>
    <row r="65" spans="1:15">
      <c r="A65" s="366">
        <f>A64+1</f>
        <v>99</v>
      </c>
      <c r="B65" s="388">
        <f t="shared" si="3"/>
        <v>55</v>
      </c>
      <c r="C65" s="389" t="str">
        <f t="shared" ca="1" si="2"/>
        <v/>
      </c>
      <c r="D65" s="630">
        <f t="shared" ca="1" si="8"/>
        <v>0</v>
      </c>
      <c r="E65" s="630">
        <f t="shared" ca="1" si="8"/>
        <v>0</v>
      </c>
      <c r="F65" s="630">
        <f t="shared" ca="1" si="8"/>
        <v>0</v>
      </c>
      <c r="G65" s="630">
        <f t="shared" ca="1" si="8"/>
        <v>0</v>
      </c>
      <c r="H65" s="630">
        <f t="shared" ca="1" si="8"/>
        <v>0</v>
      </c>
      <c r="I65" s="630">
        <f t="shared" ca="1" si="8"/>
        <v>0</v>
      </c>
      <c r="J65" s="630">
        <f t="shared" ca="1" si="8"/>
        <v>0</v>
      </c>
      <c r="K65" s="630">
        <f t="shared" ca="1" si="8"/>
        <v>0</v>
      </c>
      <c r="L65" s="630">
        <f t="shared" ca="1" si="8"/>
        <v>0</v>
      </c>
      <c r="M65" s="630">
        <f t="shared" ca="1" si="8"/>
        <v>0</v>
      </c>
      <c r="N65" s="630">
        <f t="shared" ca="1" si="8"/>
        <v>0</v>
      </c>
      <c r="O65" s="630">
        <f t="shared" ca="1" si="8"/>
        <v>0</v>
      </c>
    </row>
    <row r="66" spans="1:15">
      <c r="A66" s="366">
        <f t="shared" ref="A66:A71" si="9">A65+1</f>
        <v>100</v>
      </c>
      <c r="B66" s="386">
        <f t="shared" si="3"/>
        <v>56</v>
      </c>
      <c r="C66" s="387" t="str">
        <f t="shared" ca="1" si="2"/>
        <v/>
      </c>
      <c r="D66" s="629">
        <f t="shared" ca="1" si="8"/>
        <v>0</v>
      </c>
      <c r="E66" s="629">
        <f t="shared" ca="1" si="8"/>
        <v>0</v>
      </c>
      <c r="F66" s="629">
        <f t="shared" ca="1" si="8"/>
        <v>0</v>
      </c>
      <c r="G66" s="629">
        <f t="shared" ca="1" si="8"/>
        <v>0</v>
      </c>
      <c r="H66" s="629">
        <f t="shared" ca="1" si="8"/>
        <v>0</v>
      </c>
      <c r="I66" s="629">
        <f t="shared" ca="1" si="8"/>
        <v>0</v>
      </c>
      <c r="J66" s="629">
        <f t="shared" ca="1" si="8"/>
        <v>0</v>
      </c>
      <c r="K66" s="629">
        <f t="shared" ca="1" si="8"/>
        <v>0</v>
      </c>
      <c r="L66" s="629">
        <f t="shared" ca="1" si="8"/>
        <v>0</v>
      </c>
      <c r="M66" s="629">
        <f t="shared" ca="1" si="8"/>
        <v>0</v>
      </c>
      <c r="N66" s="629">
        <f t="shared" ca="1" si="8"/>
        <v>0</v>
      </c>
      <c r="O66" s="629">
        <f t="shared" ca="1" si="8"/>
        <v>0</v>
      </c>
    </row>
    <row r="67" spans="1:15">
      <c r="A67" s="366">
        <f t="shared" si="9"/>
        <v>101</v>
      </c>
      <c r="B67" s="392">
        <f t="shared" si="3"/>
        <v>57</v>
      </c>
      <c r="C67" s="619" t="str">
        <f t="shared" ca="1" si="2"/>
        <v/>
      </c>
      <c r="D67" s="633">
        <f t="shared" ca="1" si="8"/>
        <v>0</v>
      </c>
      <c r="E67" s="633">
        <f t="shared" ca="1" si="8"/>
        <v>0</v>
      </c>
      <c r="F67" s="633">
        <f t="shared" ca="1" si="8"/>
        <v>0</v>
      </c>
      <c r="G67" s="633">
        <f t="shared" ca="1" si="8"/>
        <v>0</v>
      </c>
      <c r="H67" s="633">
        <f t="shared" ca="1" si="8"/>
        <v>0</v>
      </c>
      <c r="I67" s="633">
        <f t="shared" ca="1" si="8"/>
        <v>0</v>
      </c>
      <c r="J67" s="633">
        <f t="shared" ca="1" si="8"/>
        <v>0</v>
      </c>
      <c r="K67" s="633">
        <f t="shared" ca="1" si="8"/>
        <v>0</v>
      </c>
      <c r="L67" s="633">
        <f t="shared" ca="1" si="8"/>
        <v>0</v>
      </c>
      <c r="M67" s="633">
        <f t="shared" ca="1" si="8"/>
        <v>0</v>
      </c>
      <c r="N67" s="633">
        <f t="shared" ca="1" si="8"/>
        <v>0</v>
      </c>
      <c r="O67" s="633">
        <f t="shared" ca="1" si="8"/>
        <v>0</v>
      </c>
    </row>
    <row r="68" spans="1:15">
      <c r="A68" s="366">
        <f t="shared" si="9"/>
        <v>102</v>
      </c>
      <c r="B68" s="386">
        <f t="shared" si="3"/>
        <v>58</v>
      </c>
      <c r="C68" s="387" t="str">
        <f t="shared" ca="1" si="2"/>
        <v/>
      </c>
      <c r="D68" s="629">
        <f t="shared" ca="1" si="8"/>
        <v>0</v>
      </c>
      <c r="E68" s="629">
        <f t="shared" ca="1" si="8"/>
        <v>0</v>
      </c>
      <c r="F68" s="629">
        <f t="shared" ca="1" si="8"/>
        <v>0</v>
      </c>
      <c r="G68" s="629">
        <f t="shared" ca="1" si="8"/>
        <v>0</v>
      </c>
      <c r="H68" s="629">
        <f t="shared" ca="1" si="8"/>
        <v>0</v>
      </c>
      <c r="I68" s="629">
        <f t="shared" ca="1" si="8"/>
        <v>0</v>
      </c>
      <c r="J68" s="629">
        <f t="shared" ca="1" si="8"/>
        <v>0</v>
      </c>
      <c r="K68" s="629">
        <f t="shared" ca="1" si="8"/>
        <v>0</v>
      </c>
      <c r="L68" s="629">
        <f t="shared" ca="1" si="8"/>
        <v>0</v>
      </c>
      <c r="M68" s="629">
        <f t="shared" ca="1" si="8"/>
        <v>0</v>
      </c>
      <c r="N68" s="629">
        <f t="shared" ca="1" si="8"/>
        <v>0</v>
      </c>
      <c r="O68" s="629">
        <f t="shared" ca="1" si="8"/>
        <v>0</v>
      </c>
    </row>
    <row r="69" spans="1:15">
      <c r="A69" s="366">
        <f t="shared" si="9"/>
        <v>103</v>
      </c>
      <c r="B69" s="388">
        <f t="shared" si="3"/>
        <v>59</v>
      </c>
      <c r="C69" s="389" t="str">
        <f t="shared" ca="1" si="2"/>
        <v/>
      </c>
      <c r="D69" s="630">
        <f t="shared" ca="1" si="8"/>
        <v>0</v>
      </c>
      <c r="E69" s="630">
        <f t="shared" ca="1" si="8"/>
        <v>0</v>
      </c>
      <c r="F69" s="630">
        <f t="shared" ca="1" si="8"/>
        <v>0</v>
      </c>
      <c r="G69" s="630">
        <f t="shared" ca="1" si="8"/>
        <v>0</v>
      </c>
      <c r="H69" s="630">
        <f t="shared" ca="1" si="8"/>
        <v>0</v>
      </c>
      <c r="I69" s="630">
        <f t="shared" ca="1" si="8"/>
        <v>0</v>
      </c>
      <c r="J69" s="630">
        <f t="shared" ca="1" si="8"/>
        <v>0</v>
      </c>
      <c r="K69" s="630">
        <f t="shared" ca="1" si="8"/>
        <v>0</v>
      </c>
      <c r="L69" s="630">
        <f t="shared" ca="1" si="8"/>
        <v>0</v>
      </c>
      <c r="M69" s="630">
        <f t="shared" ca="1" si="8"/>
        <v>0</v>
      </c>
      <c r="N69" s="630">
        <f t="shared" ca="1" si="8"/>
        <v>0</v>
      </c>
      <c r="O69" s="630">
        <f t="shared" ca="1" si="8"/>
        <v>0</v>
      </c>
    </row>
    <row r="70" spans="1:15">
      <c r="A70" s="366">
        <f t="shared" si="9"/>
        <v>104</v>
      </c>
      <c r="B70" s="386">
        <f t="shared" si="3"/>
        <v>60</v>
      </c>
      <c r="C70" s="387" t="str">
        <f t="shared" ca="1" si="2"/>
        <v/>
      </c>
      <c r="D70" s="629">
        <f t="shared" ca="1" si="8"/>
        <v>0</v>
      </c>
      <c r="E70" s="629">
        <f t="shared" ca="1" si="8"/>
        <v>0</v>
      </c>
      <c r="F70" s="629">
        <f t="shared" ca="1" si="8"/>
        <v>0</v>
      </c>
      <c r="G70" s="629">
        <f t="shared" ca="1" si="8"/>
        <v>0</v>
      </c>
      <c r="H70" s="629">
        <f t="shared" ca="1" si="8"/>
        <v>0</v>
      </c>
      <c r="I70" s="629">
        <f t="shared" ca="1" si="8"/>
        <v>0</v>
      </c>
      <c r="J70" s="629">
        <f t="shared" ca="1" si="8"/>
        <v>0</v>
      </c>
      <c r="K70" s="629">
        <f t="shared" ca="1" si="8"/>
        <v>0</v>
      </c>
      <c r="L70" s="629">
        <f t="shared" ca="1" si="8"/>
        <v>0</v>
      </c>
      <c r="M70" s="629">
        <f t="shared" ca="1" si="8"/>
        <v>0</v>
      </c>
      <c r="N70" s="629">
        <f t="shared" ca="1" si="8"/>
        <v>0</v>
      </c>
      <c r="O70" s="629">
        <f t="shared" ca="1" si="8"/>
        <v>0</v>
      </c>
    </row>
    <row r="71" spans="1:15">
      <c r="A71" s="366">
        <f t="shared" si="9"/>
        <v>105</v>
      </c>
      <c r="B71" s="392">
        <f t="shared" si="3"/>
        <v>61</v>
      </c>
      <c r="C71" s="619" t="str">
        <f t="shared" ca="1" si="2"/>
        <v/>
      </c>
      <c r="D71" s="633">
        <f t="shared" ca="1" si="8"/>
        <v>0</v>
      </c>
      <c r="E71" s="633">
        <f t="shared" ca="1" si="8"/>
        <v>0</v>
      </c>
      <c r="F71" s="633">
        <f t="shared" ca="1" si="8"/>
        <v>0</v>
      </c>
      <c r="G71" s="633">
        <f t="shared" ca="1" si="8"/>
        <v>0</v>
      </c>
      <c r="H71" s="633">
        <f t="shared" ca="1" si="8"/>
        <v>0</v>
      </c>
      <c r="I71" s="633">
        <f t="shared" ca="1" si="8"/>
        <v>0</v>
      </c>
      <c r="J71" s="633">
        <f t="shared" ca="1" si="8"/>
        <v>0</v>
      </c>
      <c r="K71" s="633">
        <f t="shared" ca="1" si="8"/>
        <v>0</v>
      </c>
      <c r="L71" s="633">
        <f t="shared" ca="1" si="8"/>
        <v>0</v>
      </c>
      <c r="M71" s="633">
        <f t="shared" ca="1" si="8"/>
        <v>0</v>
      </c>
      <c r="N71" s="633">
        <f t="shared" ca="1" si="8"/>
        <v>0</v>
      </c>
      <c r="O71" s="633">
        <f t="shared" ca="1" si="8"/>
        <v>0</v>
      </c>
    </row>
    <row r="72" spans="1:15">
      <c r="B72" s="525" t="str">
        <f ca="1">IF(LEN(CONCATENATE($C$36,$C$37))&gt;0,"*)","")</f>
        <v/>
      </c>
      <c r="C72" s="526" t="str">
        <f ca="1">IF(LEN(CONCATENATE($C$35,$C$36))&gt;0,"Taksten afhænger af alle løndele, der er direkte afhængige af beskæftigelsesgraden ("&amp;TEXT(D6,"0,0000")&amp;")","")</f>
        <v/>
      </c>
    </row>
    <row r="73" spans="1:15">
      <c r="B73" s="525" t="str">
        <f ca="1">IF(LEN(C52)&gt;0,"**)","")</f>
        <v/>
      </c>
      <c r="C73" s="353" t="str">
        <f ca="1">IF(LEN(C52)&gt;0,"(Der indbetales18% af summen af de 'pensionsgivende løndele', der overstiger skalatrin 33 (bhkl.ledere) eller 42 (lærere).)","")</f>
        <v/>
      </c>
    </row>
  </sheetData>
  <sheetProtection sheet="1" objects="1" scenarios="1" formatCells="0" formatColumns="0" formatRows="0"/>
  <phoneticPr fontId="10" type="noConversion"/>
  <printOptions horizontalCentered="1" verticalCentered="1"/>
  <pageMargins left="0.75000000000000011" right="0.75000000000000011" top="1" bottom="1" header="0.5" footer="0.5"/>
  <pageSetup paperSize="9" scale="42" orientation="portrait" horizontalDpi="4294967292" verticalDpi="4294967292"/>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pageSetUpPr fitToPage="1"/>
  </sheetPr>
  <dimension ref="A1:V74"/>
  <sheetViews>
    <sheetView showZeros="0" workbookViewId="0">
      <selection activeCell="C2" sqref="C2"/>
    </sheetView>
  </sheetViews>
  <sheetFormatPr baseColWidth="10" defaultRowHeight="12" x14ac:dyDescent="0"/>
  <cols>
    <col min="1" max="1" width="6" style="353" customWidth="1"/>
    <col min="2" max="2" width="3.28515625" style="353" customWidth="1"/>
    <col min="3" max="3" width="32" style="353" customWidth="1"/>
    <col min="4" max="4" width="12.140625" style="353" bestFit="1" customWidth="1"/>
    <col min="5" max="5" width="11.28515625" style="353" bestFit="1" customWidth="1"/>
    <col min="6" max="20" width="10.7109375" style="353"/>
    <col min="21" max="21" width="4.28515625" style="353" bestFit="1" customWidth="1"/>
    <col min="22" max="22" width="2.28515625" style="353" bestFit="1" customWidth="1"/>
    <col min="23" max="16384" width="10.7109375" style="353"/>
  </cols>
  <sheetData>
    <row r="1" spans="1:22">
      <c r="A1" s="364" t="s">
        <v>291</v>
      </c>
      <c r="D1" s="559" t="s">
        <v>292</v>
      </c>
      <c r="E1" s="559" t="s">
        <v>283</v>
      </c>
      <c r="F1" s="559" t="s">
        <v>284</v>
      </c>
      <c r="G1" s="559" t="s">
        <v>285</v>
      </c>
      <c r="H1" s="559" t="s">
        <v>286</v>
      </c>
      <c r="I1" s="559" t="s">
        <v>287</v>
      </c>
      <c r="J1" s="559" t="s">
        <v>519</v>
      </c>
      <c r="K1" s="559" t="s">
        <v>520</v>
      </c>
      <c r="L1" s="559" t="s">
        <v>521</v>
      </c>
      <c r="M1" s="559" t="s">
        <v>522</v>
      </c>
      <c r="N1" s="559" t="s">
        <v>523</v>
      </c>
      <c r="O1" s="559" t="s">
        <v>288</v>
      </c>
      <c r="P1" s="559" t="s">
        <v>524</v>
      </c>
      <c r="Q1" s="559" t="s">
        <v>525</v>
      </c>
      <c r="R1" s="559" t="s">
        <v>526</v>
      </c>
      <c r="S1" s="559" t="s">
        <v>527</v>
      </c>
    </row>
    <row r="2" spans="1:22">
      <c r="A2" s="364"/>
      <c r="B2" s="365"/>
      <c r="C2" s="394" t="s">
        <v>557</v>
      </c>
      <c r="K2" s="367"/>
      <c r="U2" s="366"/>
      <c r="V2" s="366"/>
    </row>
    <row r="3" spans="1:22">
      <c r="A3" s="353" t="s">
        <v>294</v>
      </c>
      <c r="B3" s="365"/>
      <c r="C3" s="597" t="s">
        <v>303</v>
      </c>
      <c r="D3" s="353" t="s">
        <v>293</v>
      </c>
      <c r="E3" s="496"/>
      <c r="F3" s="496"/>
      <c r="G3" s="496"/>
      <c r="H3" s="496"/>
      <c r="I3" s="496"/>
      <c r="J3" s="496"/>
      <c r="K3" s="496"/>
      <c r="L3" s="496"/>
      <c r="M3" s="496"/>
      <c r="N3" s="496"/>
      <c r="O3" s="496"/>
    </row>
    <row r="4" spans="1:22" ht="25" customHeight="1">
      <c r="A4" s="366">
        <v>1</v>
      </c>
      <c r="B4" s="368"/>
      <c r="C4" s="368" t="s">
        <v>296</v>
      </c>
      <c r="D4" s="369" t="str">
        <f t="shared" ref="D4:D10" ca="1" si="0">INDIRECT(D$1&amp;"!"&amp;VLOOKUP($C$3,mdr,2,0)&amp;$A4)</f>
        <v>A</v>
      </c>
      <c r="E4" s="369" t="str">
        <f t="shared" ref="E4:S10" ca="1" si="1">IF(E$1="","",INDIRECT(E$1&amp;"!"&amp;VLOOKUP($C$3,mdr,2,0)&amp;$A4))</f>
        <v>B</v>
      </c>
      <c r="F4" s="369" t="str">
        <f t="shared" ca="1" si="1"/>
        <v>C</v>
      </c>
      <c r="G4" s="369" t="str">
        <f t="shared" ca="1" si="1"/>
        <v>D</v>
      </c>
      <c r="H4" s="369" t="str">
        <f t="shared" ca="1" si="1"/>
        <v>E</v>
      </c>
      <c r="I4" s="369" t="str">
        <f t="shared" ca="1" si="1"/>
        <v>F</v>
      </c>
      <c r="J4" s="369" t="str">
        <f t="shared" ca="1" si="1"/>
        <v>G</v>
      </c>
      <c r="K4" s="369" t="str">
        <f t="shared" ca="1" si="1"/>
        <v>H</v>
      </c>
      <c r="L4" s="369" t="str">
        <f t="shared" ca="1" si="1"/>
        <v>I</v>
      </c>
      <c r="M4" s="369" t="str">
        <f t="shared" ca="1" si="1"/>
        <v>J</v>
      </c>
      <c r="N4" s="369" t="str">
        <f t="shared" ca="1" si="1"/>
        <v>K</v>
      </c>
      <c r="O4" s="369" t="str">
        <f t="shared" ca="1" si="1"/>
        <v>L</v>
      </c>
      <c r="P4" s="369" t="str">
        <f t="shared" ca="1" si="1"/>
        <v>M</v>
      </c>
      <c r="Q4" s="369" t="str">
        <f t="shared" ca="1" si="1"/>
        <v>N</v>
      </c>
      <c r="R4" s="369" t="str">
        <f t="shared" ca="1" si="1"/>
        <v>O</v>
      </c>
      <c r="S4" s="369" t="str">
        <f t="shared" ca="1" si="1"/>
        <v>P</v>
      </c>
      <c r="T4" s="530" t="s">
        <v>345</v>
      </c>
    </row>
    <row r="5" spans="1:22" ht="13">
      <c r="A5" s="366">
        <v>2</v>
      </c>
      <c r="B5" s="370"/>
      <c r="C5" s="370" t="s">
        <v>297</v>
      </c>
      <c r="D5" s="498" t="str">
        <f t="shared" ca="1" si="0"/>
        <v>AUG 14</v>
      </c>
      <c r="E5" s="498" t="str">
        <f t="shared" ca="1" si="1"/>
        <v>AUG 14</v>
      </c>
      <c r="F5" s="498" t="str">
        <f t="shared" ca="1" si="1"/>
        <v>AUG 14</v>
      </c>
      <c r="G5" s="498" t="str">
        <f t="shared" ca="1" si="1"/>
        <v>AUG 14</v>
      </c>
      <c r="H5" s="498" t="str">
        <f t="shared" ca="1" si="1"/>
        <v>AUG 14</v>
      </c>
      <c r="I5" s="498" t="str">
        <f t="shared" ca="1" si="1"/>
        <v>AUG 14</v>
      </c>
      <c r="J5" s="498" t="str">
        <f t="shared" ca="1" si="1"/>
        <v>AUG 14</v>
      </c>
      <c r="K5" s="498" t="str">
        <f t="shared" ca="1" si="1"/>
        <v>AUG 14</v>
      </c>
      <c r="L5" s="498" t="str">
        <f t="shared" ca="1" si="1"/>
        <v>AUG 14</v>
      </c>
      <c r="M5" s="498" t="str">
        <f t="shared" ca="1" si="1"/>
        <v>AUG 14</v>
      </c>
      <c r="N5" s="498" t="str">
        <f t="shared" ca="1" si="1"/>
        <v>AUG 14</v>
      </c>
      <c r="O5" s="498" t="str">
        <f t="shared" ca="1" si="1"/>
        <v>AUG 14</v>
      </c>
      <c r="P5" s="498" t="str">
        <f t="shared" ca="1" si="1"/>
        <v>AUG 14</v>
      </c>
      <c r="Q5" s="498" t="str">
        <f t="shared" ca="1" si="1"/>
        <v>AUG 14</v>
      </c>
      <c r="R5" s="498" t="str">
        <f t="shared" ca="1" si="1"/>
        <v>AUG 14</v>
      </c>
      <c r="S5" s="498" t="str">
        <f t="shared" ca="1" si="1"/>
        <v>AUG 14</v>
      </c>
      <c r="T5" s="531"/>
      <c r="U5" s="500" t="s">
        <v>303</v>
      </c>
      <c r="V5" s="501" t="s">
        <v>324</v>
      </c>
    </row>
    <row r="6" spans="1:22" ht="13">
      <c r="A6" s="366">
        <v>8</v>
      </c>
      <c r="B6" s="371"/>
      <c r="C6" s="371" t="s">
        <v>298</v>
      </c>
      <c r="D6" s="372">
        <f t="shared" ca="1" si="0"/>
        <v>0</v>
      </c>
      <c r="E6" s="372">
        <f t="shared" ca="1" si="1"/>
        <v>0</v>
      </c>
      <c r="F6" s="372">
        <f t="shared" ca="1" si="1"/>
        <v>0</v>
      </c>
      <c r="G6" s="372">
        <f t="shared" ca="1" si="1"/>
        <v>0</v>
      </c>
      <c r="H6" s="372">
        <f t="shared" ca="1" si="1"/>
        <v>0</v>
      </c>
      <c r="I6" s="372">
        <f t="shared" ca="1" si="1"/>
        <v>0</v>
      </c>
      <c r="J6" s="372">
        <f t="shared" ca="1" si="1"/>
        <v>0</v>
      </c>
      <c r="K6" s="372">
        <f t="shared" ca="1" si="1"/>
        <v>0</v>
      </c>
      <c r="L6" s="372">
        <f t="shared" ca="1" si="1"/>
        <v>0</v>
      </c>
      <c r="M6" s="372">
        <f t="shared" ca="1" si="1"/>
        <v>0</v>
      </c>
      <c r="N6" s="372">
        <f t="shared" ca="1" si="1"/>
        <v>0</v>
      </c>
      <c r="O6" s="372">
        <f t="shared" ca="1" si="1"/>
        <v>0</v>
      </c>
      <c r="P6" s="372">
        <f t="shared" ca="1" si="1"/>
        <v>0</v>
      </c>
      <c r="Q6" s="372">
        <f t="shared" ca="1" si="1"/>
        <v>0</v>
      </c>
      <c r="R6" s="372">
        <f t="shared" ca="1" si="1"/>
        <v>0</v>
      </c>
      <c r="S6" s="372">
        <f t="shared" ca="1" si="1"/>
        <v>0</v>
      </c>
      <c r="T6" s="532"/>
      <c r="U6" s="503" t="s">
        <v>319</v>
      </c>
      <c r="V6" s="504" t="s">
        <v>326</v>
      </c>
    </row>
    <row r="7" spans="1:22" ht="13">
      <c r="A7" s="366">
        <v>3</v>
      </c>
      <c r="B7" s="370"/>
      <c r="C7" s="370" t="s">
        <v>299</v>
      </c>
      <c r="D7" s="373">
        <f t="shared" ca="1" si="0"/>
        <v>1</v>
      </c>
      <c r="E7" s="373">
        <f t="shared" ca="1" si="1"/>
        <v>1</v>
      </c>
      <c r="F7" s="373">
        <f t="shared" ca="1" si="1"/>
        <v>1</v>
      </c>
      <c r="G7" s="373">
        <f t="shared" ca="1" si="1"/>
        <v>1</v>
      </c>
      <c r="H7" s="373">
        <f t="shared" ca="1" si="1"/>
        <v>1</v>
      </c>
      <c r="I7" s="373">
        <f t="shared" ca="1" si="1"/>
        <v>1</v>
      </c>
      <c r="J7" s="373">
        <f t="shared" ca="1" si="1"/>
        <v>1</v>
      </c>
      <c r="K7" s="373">
        <f t="shared" ca="1" si="1"/>
        <v>1</v>
      </c>
      <c r="L7" s="373">
        <f t="shared" ca="1" si="1"/>
        <v>1</v>
      </c>
      <c r="M7" s="373">
        <f t="shared" ca="1" si="1"/>
        <v>1</v>
      </c>
      <c r="N7" s="373">
        <f t="shared" ca="1" si="1"/>
        <v>1</v>
      </c>
      <c r="O7" s="373">
        <f t="shared" ca="1" si="1"/>
        <v>1</v>
      </c>
      <c r="P7" s="373">
        <f t="shared" ca="1" si="1"/>
        <v>1</v>
      </c>
      <c r="Q7" s="373">
        <f t="shared" ca="1" si="1"/>
        <v>1</v>
      </c>
      <c r="R7" s="373">
        <f t="shared" ca="1" si="1"/>
        <v>1</v>
      </c>
      <c r="S7" s="373">
        <f t="shared" ca="1" si="1"/>
        <v>1</v>
      </c>
      <c r="T7" s="533"/>
      <c r="U7" s="503" t="s">
        <v>321</v>
      </c>
      <c r="V7" s="504" t="s">
        <v>328</v>
      </c>
    </row>
    <row r="8" spans="1:22" ht="13">
      <c r="A8" s="366">
        <v>7</v>
      </c>
      <c r="B8" s="371"/>
      <c r="C8" s="371" t="s">
        <v>460</v>
      </c>
      <c r="D8" s="505">
        <f t="shared" ca="1" si="0"/>
        <v>2</v>
      </c>
      <c r="E8" s="505">
        <f t="shared" ca="1" si="1"/>
        <v>2</v>
      </c>
      <c r="F8" s="505">
        <f t="shared" ca="1" si="1"/>
        <v>2</v>
      </c>
      <c r="G8" s="505">
        <f t="shared" ca="1" si="1"/>
        <v>2</v>
      </c>
      <c r="H8" s="505">
        <f t="shared" ca="1" si="1"/>
        <v>2</v>
      </c>
      <c r="I8" s="505">
        <f t="shared" ca="1" si="1"/>
        <v>2</v>
      </c>
      <c r="J8" s="505">
        <f t="shared" ca="1" si="1"/>
        <v>2</v>
      </c>
      <c r="K8" s="505">
        <f t="shared" ca="1" si="1"/>
        <v>2</v>
      </c>
      <c r="L8" s="505">
        <f t="shared" ca="1" si="1"/>
        <v>2</v>
      </c>
      <c r="M8" s="505">
        <f t="shared" ca="1" si="1"/>
        <v>2</v>
      </c>
      <c r="N8" s="505">
        <f t="shared" ca="1" si="1"/>
        <v>2</v>
      </c>
      <c r="O8" s="505">
        <f t="shared" ca="1" si="1"/>
        <v>2</v>
      </c>
      <c r="P8" s="505">
        <f t="shared" ca="1" si="1"/>
        <v>2</v>
      </c>
      <c r="Q8" s="505">
        <f t="shared" ca="1" si="1"/>
        <v>2</v>
      </c>
      <c r="R8" s="505">
        <f t="shared" ca="1" si="1"/>
        <v>2</v>
      </c>
      <c r="S8" s="505">
        <f t="shared" ca="1" si="1"/>
        <v>2</v>
      </c>
      <c r="T8" s="534"/>
      <c r="U8" s="503" t="s">
        <v>323</v>
      </c>
      <c r="V8" s="504" t="s">
        <v>330</v>
      </c>
    </row>
    <row r="9" spans="1:22" ht="13">
      <c r="A9" s="366">
        <v>9</v>
      </c>
      <c r="B9" s="370"/>
      <c r="C9" s="370" t="s">
        <v>461</v>
      </c>
      <c r="D9" s="528">
        <f t="shared" ca="1" si="0"/>
        <v>0</v>
      </c>
      <c r="E9" s="528">
        <f t="shared" ca="1" si="1"/>
        <v>0</v>
      </c>
      <c r="F9" s="528">
        <f t="shared" ca="1" si="1"/>
        <v>0</v>
      </c>
      <c r="G9" s="528">
        <f t="shared" ca="1" si="1"/>
        <v>0</v>
      </c>
      <c r="H9" s="528">
        <f t="shared" ca="1" si="1"/>
        <v>0</v>
      </c>
      <c r="I9" s="528">
        <f t="shared" ca="1" si="1"/>
        <v>0</v>
      </c>
      <c r="J9" s="528">
        <f t="shared" ca="1" si="1"/>
        <v>0</v>
      </c>
      <c r="K9" s="528">
        <f t="shared" ca="1" si="1"/>
        <v>0</v>
      </c>
      <c r="L9" s="528">
        <f t="shared" ca="1" si="1"/>
        <v>0</v>
      </c>
      <c r="M9" s="528">
        <f t="shared" ca="1" si="1"/>
        <v>0</v>
      </c>
      <c r="N9" s="528">
        <f t="shared" ca="1" si="1"/>
        <v>0</v>
      </c>
      <c r="O9" s="528">
        <f t="shared" ca="1" si="1"/>
        <v>0</v>
      </c>
      <c r="P9" s="528">
        <f t="shared" ca="1" si="1"/>
        <v>0</v>
      </c>
      <c r="Q9" s="528">
        <f t="shared" ca="1" si="1"/>
        <v>0</v>
      </c>
      <c r="R9" s="528">
        <f t="shared" ca="1" si="1"/>
        <v>0</v>
      </c>
      <c r="S9" s="528">
        <f t="shared" ca="1" si="1"/>
        <v>0</v>
      </c>
      <c r="T9" s="535"/>
      <c r="U9" s="503" t="s">
        <v>325</v>
      </c>
      <c r="V9" s="504" t="s">
        <v>332</v>
      </c>
    </row>
    <row r="10" spans="1:22" ht="13">
      <c r="A10" s="507">
        <v>4</v>
      </c>
      <c r="B10" s="371"/>
      <c r="C10" s="371" t="s">
        <v>300</v>
      </c>
      <c r="D10" s="505">
        <f t="shared" ca="1" si="0"/>
        <v>0</v>
      </c>
      <c r="E10" s="505">
        <f t="shared" ca="1" si="1"/>
        <v>0</v>
      </c>
      <c r="F10" s="505">
        <f t="shared" ca="1" si="1"/>
        <v>0</v>
      </c>
      <c r="G10" s="505">
        <f t="shared" ca="1" si="1"/>
        <v>0</v>
      </c>
      <c r="H10" s="505">
        <f t="shared" ca="1" si="1"/>
        <v>0</v>
      </c>
      <c r="I10" s="505">
        <f t="shared" ca="1" si="1"/>
        <v>0</v>
      </c>
      <c r="J10" s="505">
        <f t="shared" ca="1" si="1"/>
        <v>0</v>
      </c>
      <c r="K10" s="505">
        <f t="shared" ca="1" si="1"/>
        <v>0</v>
      </c>
      <c r="L10" s="505">
        <f t="shared" ca="1" si="1"/>
        <v>0</v>
      </c>
      <c r="M10" s="505">
        <f t="shared" ca="1" si="1"/>
        <v>0</v>
      </c>
      <c r="N10" s="505">
        <f t="shared" ca="1" si="1"/>
        <v>0</v>
      </c>
      <c r="O10" s="505">
        <f t="shared" ca="1" si="1"/>
        <v>0</v>
      </c>
      <c r="P10" s="505">
        <f t="shared" ca="1" si="1"/>
        <v>0</v>
      </c>
      <c r="Q10" s="505">
        <f t="shared" ca="1" si="1"/>
        <v>0</v>
      </c>
      <c r="R10" s="505">
        <f t="shared" ca="1" si="1"/>
        <v>0</v>
      </c>
      <c r="S10" s="505">
        <f t="shared" ca="1" si="1"/>
        <v>0</v>
      </c>
      <c r="T10" s="534"/>
      <c r="U10" s="503" t="s">
        <v>327</v>
      </c>
      <c r="V10" s="504" t="s">
        <v>334</v>
      </c>
    </row>
    <row r="11" spans="1:22" ht="13">
      <c r="B11" s="370"/>
      <c r="C11" s="370" t="s">
        <v>479</v>
      </c>
      <c r="D11" s="508" t="str">
        <f ca="1">IF(LEFT(INDIRECT(D$1&amp;"!G5"))="L","LP","Tj.m., trin "&amp;RIGHT(INDIRECT(D$1&amp;"!G5"),2))</f>
        <v xml:space="preserve">Tj.m., trin </v>
      </c>
      <c r="E11" s="508" t="str">
        <f ca="1">IF(E$1="","",IF(LEFT(INDIRECT(E$1&amp;"!G5"))="L","LP","Tj.m., trin "&amp;RIGHT(INDIRECT(E$1&amp;"!G5"),2)))</f>
        <v xml:space="preserve">Tj.m., trin </v>
      </c>
      <c r="F11" s="508" t="str">
        <f ca="1">IF(F$1="","",IF(LEFT(INDIRECT(F$1&amp;"!G5"))="L","LP","Tj.m., trin "&amp;RIGHT(INDIRECT(F$1&amp;"!G5"),2)))</f>
        <v xml:space="preserve">Tj.m., trin </v>
      </c>
      <c r="G11" s="508" t="str">
        <f t="shared" ref="G11:S11" ca="1" si="2">IF(G$1="","",IF(LEFT(INDIRECT(G$1&amp;"!G5"))="L","LP","Tj.m., trin "&amp;RIGHT(INDIRECT(G$1&amp;"!G5"),2)))</f>
        <v xml:space="preserve">Tj.m., trin </v>
      </c>
      <c r="H11" s="508" t="str">
        <f t="shared" ca="1" si="2"/>
        <v xml:space="preserve">Tj.m., trin </v>
      </c>
      <c r="I11" s="508" t="str">
        <f t="shared" ca="1" si="2"/>
        <v xml:space="preserve">Tj.m., trin </v>
      </c>
      <c r="J11" s="508" t="str">
        <f t="shared" ca="1" si="2"/>
        <v xml:space="preserve">Tj.m., trin </v>
      </c>
      <c r="K11" s="508" t="str">
        <f t="shared" ca="1" si="2"/>
        <v xml:space="preserve">Tj.m., trin </v>
      </c>
      <c r="L11" s="508" t="str">
        <f t="shared" ca="1" si="2"/>
        <v xml:space="preserve">Tj.m., trin </v>
      </c>
      <c r="M11" s="508" t="str">
        <f t="shared" ca="1" si="2"/>
        <v xml:space="preserve">Tj.m., trin </v>
      </c>
      <c r="N11" s="508" t="str">
        <f t="shared" ca="1" si="2"/>
        <v xml:space="preserve">Tj.m., trin </v>
      </c>
      <c r="O11" s="508" t="str">
        <f t="shared" ca="1" si="2"/>
        <v xml:space="preserve">Tj.m., trin </v>
      </c>
      <c r="P11" s="508" t="str">
        <f t="shared" ca="1" si="2"/>
        <v xml:space="preserve">Tj.m., trin </v>
      </c>
      <c r="Q11" s="508" t="str">
        <f t="shared" ca="1" si="2"/>
        <v xml:space="preserve">Tj.m., trin </v>
      </c>
      <c r="R11" s="508" t="str">
        <f t="shared" ca="1" si="2"/>
        <v xml:space="preserve">Tj.m., trin </v>
      </c>
      <c r="S11" s="508" t="str">
        <f t="shared" ca="1" si="2"/>
        <v xml:space="preserve">Tj.m., trin </v>
      </c>
      <c r="T11" s="536"/>
      <c r="U11" s="503" t="s">
        <v>329</v>
      </c>
      <c r="V11" s="504" t="s">
        <v>336</v>
      </c>
    </row>
    <row r="12" spans="1:22">
      <c r="A12" s="366">
        <v>45</v>
      </c>
      <c r="B12" s="376">
        <v>1</v>
      </c>
      <c r="C12" s="377" t="str">
        <f ca="1">IF(ABS(SUM(D12:S12))&gt;0.1,INDIRECT($D$1&amp;"!f"&amp;A12),"")</f>
        <v/>
      </c>
      <c r="D12" s="623">
        <f t="shared" ref="D12:S21" ca="1" si="3">INDIRECT(D$1&amp;"!"&amp;VLOOKUP($C$3,mdr,2,0)&amp;$A12)</f>
        <v>0</v>
      </c>
      <c r="E12" s="623">
        <f t="shared" ca="1" si="3"/>
        <v>0</v>
      </c>
      <c r="F12" s="623">
        <f t="shared" ca="1" si="3"/>
        <v>0</v>
      </c>
      <c r="G12" s="623">
        <f t="shared" ca="1" si="3"/>
        <v>0</v>
      </c>
      <c r="H12" s="623">
        <f t="shared" ca="1" si="3"/>
        <v>0</v>
      </c>
      <c r="I12" s="623">
        <f t="shared" ca="1" si="3"/>
        <v>0</v>
      </c>
      <c r="J12" s="623">
        <f t="shared" ca="1" si="3"/>
        <v>0</v>
      </c>
      <c r="K12" s="623">
        <f t="shared" ca="1" si="3"/>
        <v>0</v>
      </c>
      <c r="L12" s="623">
        <f t="shared" ca="1" si="3"/>
        <v>0</v>
      </c>
      <c r="M12" s="623">
        <f t="shared" ca="1" si="3"/>
        <v>0</v>
      </c>
      <c r="N12" s="623">
        <f t="shared" ca="1" si="3"/>
        <v>0</v>
      </c>
      <c r="O12" s="623">
        <f t="shared" ca="1" si="3"/>
        <v>0</v>
      </c>
      <c r="P12" s="623">
        <f t="shared" ca="1" si="3"/>
        <v>0</v>
      </c>
      <c r="Q12" s="623">
        <f t="shared" ca="1" si="3"/>
        <v>0</v>
      </c>
      <c r="R12" s="623">
        <f t="shared" ca="1" si="3"/>
        <v>0</v>
      </c>
      <c r="S12" s="623">
        <f t="shared" ca="1" si="3"/>
        <v>0</v>
      </c>
      <c r="T12" s="623">
        <f t="shared" ref="T12:T43" ca="1" si="4">SUM(D12:S12)</f>
        <v>0</v>
      </c>
      <c r="U12" s="503" t="s">
        <v>331</v>
      </c>
      <c r="V12" s="504" t="s">
        <v>338</v>
      </c>
    </row>
    <row r="13" spans="1:22">
      <c r="A13" s="366">
        <v>46</v>
      </c>
      <c r="B13" s="374">
        <f>B12+1</f>
        <v>2</v>
      </c>
      <c r="C13" s="375" t="str">
        <f t="shared" ref="C13:C72" ca="1" si="5">IF(ABS(SUM(D13:S13))&gt;0.1,INDIRECT($D$1&amp;"!f"&amp;A13),"")</f>
        <v/>
      </c>
      <c r="D13" s="624">
        <f t="shared" ca="1" si="3"/>
        <v>0</v>
      </c>
      <c r="E13" s="624">
        <f t="shared" ca="1" si="3"/>
        <v>0</v>
      </c>
      <c r="F13" s="624">
        <f t="shared" ca="1" si="3"/>
        <v>0</v>
      </c>
      <c r="G13" s="624">
        <f t="shared" ca="1" si="3"/>
        <v>0</v>
      </c>
      <c r="H13" s="624">
        <f t="shared" ca="1" si="3"/>
        <v>0</v>
      </c>
      <c r="I13" s="624">
        <f t="shared" ca="1" si="3"/>
        <v>0</v>
      </c>
      <c r="J13" s="624">
        <f t="shared" ca="1" si="3"/>
        <v>0</v>
      </c>
      <c r="K13" s="624">
        <f t="shared" ca="1" si="3"/>
        <v>0</v>
      </c>
      <c r="L13" s="624">
        <f t="shared" ca="1" si="3"/>
        <v>0</v>
      </c>
      <c r="M13" s="624">
        <f t="shared" ca="1" si="3"/>
        <v>0</v>
      </c>
      <c r="N13" s="624">
        <f t="shared" ca="1" si="3"/>
        <v>0</v>
      </c>
      <c r="O13" s="624">
        <f t="shared" ca="1" si="3"/>
        <v>0</v>
      </c>
      <c r="P13" s="624">
        <f t="shared" ca="1" si="3"/>
        <v>0</v>
      </c>
      <c r="Q13" s="624">
        <f t="shared" ca="1" si="3"/>
        <v>0</v>
      </c>
      <c r="R13" s="624">
        <f t="shared" ca="1" si="3"/>
        <v>0</v>
      </c>
      <c r="S13" s="624">
        <f t="shared" ca="1" si="3"/>
        <v>0</v>
      </c>
      <c r="T13" s="624">
        <f t="shared" ca="1" si="4"/>
        <v>0</v>
      </c>
      <c r="U13" s="503" t="s">
        <v>333</v>
      </c>
      <c r="V13" s="504" t="s">
        <v>340</v>
      </c>
    </row>
    <row r="14" spans="1:22">
      <c r="A14" s="366">
        <v>47</v>
      </c>
      <c r="B14" s="376">
        <f t="shared" ref="B14:B72" si="6">B13+1</f>
        <v>3</v>
      </c>
      <c r="C14" s="377" t="str">
        <f t="shared" ca="1" si="5"/>
        <v/>
      </c>
      <c r="D14" s="623">
        <f t="shared" ca="1" si="3"/>
        <v>0</v>
      </c>
      <c r="E14" s="623">
        <f t="shared" ca="1" si="3"/>
        <v>0</v>
      </c>
      <c r="F14" s="623">
        <f t="shared" ca="1" si="3"/>
        <v>0</v>
      </c>
      <c r="G14" s="623">
        <f t="shared" ca="1" si="3"/>
        <v>0</v>
      </c>
      <c r="H14" s="623">
        <f t="shared" ca="1" si="3"/>
        <v>0</v>
      </c>
      <c r="I14" s="623">
        <f t="shared" ca="1" si="3"/>
        <v>0</v>
      </c>
      <c r="J14" s="623">
        <f t="shared" ca="1" si="3"/>
        <v>0</v>
      </c>
      <c r="K14" s="623">
        <f t="shared" ca="1" si="3"/>
        <v>0</v>
      </c>
      <c r="L14" s="623">
        <f t="shared" ca="1" si="3"/>
        <v>0</v>
      </c>
      <c r="M14" s="623">
        <f t="shared" ca="1" si="3"/>
        <v>0</v>
      </c>
      <c r="N14" s="623">
        <f t="shared" ca="1" si="3"/>
        <v>0</v>
      </c>
      <c r="O14" s="623">
        <f t="shared" ca="1" si="3"/>
        <v>0</v>
      </c>
      <c r="P14" s="623">
        <f t="shared" ca="1" si="3"/>
        <v>0</v>
      </c>
      <c r="Q14" s="623">
        <f t="shared" ca="1" si="3"/>
        <v>0</v>
      </c>
      <c r="R14" s="623">
        <f t="shared" ca="1" si="3"/>
        <v>0</v>
      </c>
      <c r="S14" s="623">
        <f t="shared" ca="1" si="3"/>
        <v>0</v>
      </c>
      <c r="T14" s="623">
        <f t="shared" ca="1" si="4"/>
        <v>0</v>
      </c>
      <c r="U14" s="503" t="s">
        <v>335</v>
      </c>
      <c r="V14" s="504" t="s">
        <v>442</v>
      </c>
    </row>
    <row r="15" spans="1:22">
      <c r="A15" s="366">
        <v>48</v>
      </c>
      <c r="B15" s="374">
        <f t="shared" si="6"/>
        <v>4</v>
      </c>
      <c r="C15" s="375" t="str">
        <f t="shared" ca="1" si="5"/>
        <v/>
      </c>
      <c r="D15" s="624">
        <f t="shared" ca="1" si="3"/>
        <v>0</v>
      </c>
      <c r="E15" s="624">
        <f t="shared" ca="1" si="3"/>
        <v>0</v>
      </c>
      <c r="F15" s="624">
        <f t="shared" ca="1" si="3"/>
        <v>0</v>
      </c>
      <c r="G15" s="624">
        <f t="shared" ca="1" si="3"/>
        <v>0</v>
      </c>
      <c r="H15" s="624">
        <f t="shared" ca="1" si="3"/>
        <v>0</v>
      </c>
      <c r="I15" s="624">
        <f t="shared" ca="1" si="3"/>
        <v>0</v>
      </c>
      <c r="J15" s="624">
        <f t="shared" ca="1" si="3"/>
        <v>0</v>
      </c>
      <c r="K15" s="624">
        <f t="shared" ca="1" si="3"/>
        <v>0</v>
      </c>
      <c r="L15" s="624">
        <f t="shared" ca="1" si="3"/>
        <v>0</v>
      </c>
      <c r="M15" s="624">
        <f t="shared" ca="1" si="3"/>
        <v>0</v>
      </c>
      <c r="N15" s="624">
        <f t="shared" ca="1" si="3"/>
        <v>0</v>
      </c>
      <c r="O15" s="624">
        <f t="shared" ca="1" si="3"/>
        <v>0</v>
      </c>
      <c r="P15" s="624">
        <f t="shared" ca="1" si="3"/>
        <v>0</v>
      </c>
      <c r="Q15" s="624">
        <f t="shared" ca="1" si="3"/>
        <v>0</v>
      </c>
      <c r="R15" s="624">
        <f t="shared" ca="1" si="3"/>
        <v>0</v>
      </c>
      <c r="S15" s="624">
        <f t="shared" ca="1" si="3"/>
        <v>0</v>
      </c>
      <c r="T15" s="624">
        <f t="shared" ca="1" si="4"/>
        <v>0</v>
      </c>
      <c r="U15" s="503" t="s">
        <v>337</v>
      </c>
      <c r="V15" s="504" t="s">
        <v>443</v>
      </c>
    </row>
    <row r="16" spans="1:22">
      <c r="A16" s="366">
        <v>49</v>
      </c>
      <c r="B16" s="376">
        <f t="shared" si="6"/>
        <v>5</v>
      </c>
      <c r="C16" s="377" t="str">
        <f t="shared" ca="1" si="5"/>
        <v/>
      </c>
      <c r="D16" s="623">
        <f t="shared" ca="1" si="3"/>
        <v>0</v>
      </c>
      <c r="E16" s="623">
        <f t="shared" ca="1" si="3"/>
        <v>0</v>
      </c>
      <c r="F16" s="623">
        <f t="shared" ca="1" si="3"/>
        <v>0</v>
      </c>
      <c r="G16" s="623">
        <f t="shared" ca="1" si="3"/>
        <v>0</v>
      </c>
      <c r="H16" s="623">
        <f t="shared" ca="1" si="3"/>
        <v>0</v>
      </c>
      <c r="I16" s="623">
        <f t="shared" ca="1" si="3"/>
        <v>0</v>
      </c>
      <c r="J16" s="623">
        <f t="shared" ca="1" si="3"/>
        <v>0</v>
      </c>
      <c r="K16" s="623">
        <f t="shared" ca="1" si="3"/>
        <v>0</v>
      </c>
      <c r="L16" s="623">
        <f t="shared" ca="1" si="3"/>
        <v>0</v>
      </c>
      <c r="M16" s="623">
        <f t="shared" ca="1" si="3"/>
        <v>0</v>
      </c>
      <c r="N16" s="623">
        <f t="shared" ca="1" si="3"/>
        <v>0</v>
      </c>
      <c r="O16" s="623">
        <f t="shared" ca="1" si="3"/>
        <v>0</v>
      </c>
      <c r="P16" s="623">
        <f t="shared" ca="1" si="3"/>
        <v>0</v>
      </c>
      <c r="Q16" s="623">
        <f t="shared" ca="1" si="3"/>
        <v>0</v>
      </c>
      <c r="R16" s="623">
        <f t="shared" ca="1" si="3"/>
        <v>0</v>
      </c>
      <c r="S16" s="623">
        <f t="shared" ca="1" si="3"/>
        <v>0</v>
      </c>
      <c r="T16" s="623">
        <f t="shared" ca="1" si="4"/>
        <v>0</v>
      </c>
      <c r="U16" s="512" t="s">
        <v>339</v>
      </c>
      <c r="V16" s="513" t="s">
        <v>444</v>
      </c>
    </row>
    <row r="17" spans="1:20">
      <c r="A17" s="366">
        <v>50</v>
      </c>
      <c r="B17" s="374">
        <f t="shared" si="6"/>
        <v>6</v>
      </c>
      <c r="C17" s="375" t="str">
        <f t="shared" ca="1" si="5"/>
        <v/>
      </c>
      <c r="D17" s="624">
        <f t="shared" ca="1" si="3"/>
        <v>0</v>
      </c>
      <c r="E17" s="624">
        <f t="shared" ca="1" si="3"/>
        <v>0</v>
      </c>
      <c r="F17" s="624">
        <f t="shared" ca="1" si="3"/>
        <v>0</v>
      </c>
      <c r="G17" s="624">
        <f t="shared" ca="1" si="3"/>
        <v>0</v>
      </c>
      <c r="H17" s="624">
        <f t="shared" ca="1" si="3"/>
        <v>0</v>
      </c>
      <c r="I17" s="624">
        <f t="shared" ca="1" si="3"/>
        <v>0</v>
      </c>
      <c r="J17" s="624">
        <f t="shared" ca="1" si="3"/>
        <v>0</v>
      </c>
      <c r="K17" s="624">
        <f t="shared" ca="1" si="3"/>
        <v>0</v>
      </c>
      <c r="L17" s="624">
        <f t="shared" ca="1" si="3"/>
        <v>0</v>
      </c>
      <c r="M17" s="624">
        <f t="shared" ca="1" si="3"/>
        <v>0</v>
      </c>
      <c r="N17" s="624">
        <f t="shared" ca="1" si="3"/>
        <v>0</v>
      </c>
      <c r="O17" s="624">
        <f t="shared" ca="1" si="3"/>
        <v>0</v>
      </c>
      <c r="P17" s="624">
        <f t="shared" ca="1" si="3"/>
        <v>0</v>
      </c>
      <c r="Q17" s="624">
        <f t="shared" ca="1" si="3"/>
        <v>0</v>
      </c>
      <c r="R17" s="624">
        <f t="shared" ca="1" si="3"/>
        <v>0</v>
      </c>
      <c r="S17" s="624">
        <f t="shared" ca="1" si="3"/>
        <v>0</v>
      </c>
      <c r="T17" s="624">
        <f t="shared" ca="1" si="4"/>
        <v>0</v>
      </c>
    </row>
    <row r="18" spans="1:20">
      <c r="A18" s="366">
        <v>51</v>
      </c>
      <c r="B18" s="376">
        <f t="shared" si="6"/>
        <v>7</v>
      </c>
      <c r="C18" s="377" t="str">
        <f t="shared" ca="1" si="5"/>
        <v/>
      </c>
      <c r="D18" s="623">
        <f t="shared" ca="1" si="3"/>
        <v>0</v>
      </c>
      <c r="E18" s="623">
        <f t="shared" ca="1" si="3"/>
        <v>0</v>
      </c>
      <c r="F18" s="623">
        <f t="shared" ca="1" si="3"/>
        <v>0</v>
      </c>
      <c r="G18" s="623">
        <f t="shared" ca="1" si="3"/>
        <v>0</v>
      </c>
      <c r="H18" s="623">
        <f t="shared" ca="1" si="3"/>
        <v>0</v>
      </c>
      <c r="I18" s="623">
        <f t="shared" ca="1" si="3"/>
        <v>0</v>
      </c>
      <c r="J18" s="623">
        <f t="shared" ca="1" si="3"/>
        <v>0</v>
      </c>
      <c r="K18" s="623">
        <f t="shared" ca="1" si="3"/>
        <v>0</v>
      </c>
      <c r="L18" s="623">
        <f t="shared" ca="1" si="3"/>
        <v>0</v>
      </c>
      <c r="M18" s="623">
        <f t="shared" ca="1" si="3"/>
        <v>0</v>
      </c>
      <c r="N18" s="623">
        <f t="shared" ca="1" si="3"/>
        <v>0</v>
      </c>
      <c r="O18" s="623">
        <f t="shared" ca="1" si="3"/>
        <v>0</v>
      </c>
      <c r="P18" s="623">
        <f t="shared" ca="1" si="3"/>
        <v>0</v>
      </c>
      <c r="Q18" s="623">
        <f t="shared" ca="1" si="3"/>
        <v>0</v>
      </c>
      <c r="R18" s="623">
        <f t="shared" ca="1" si="3"/>
        <v>0</v>
      </c>
      <c r="S18" s="623">
        <f t="shared" ca="1" si="3"/>
        <v>0</v>
      </c>
      <c r="T18" s="623">
        <f t="shared" ca="1" si="4"/>
        <v>0</v>
      </c>
    </row>
    <row r="19" spans="1:20">
      <c r="A19" s="366">
        <v>52</v>
      </c>
      <c r="B19" s="374">
        <f t="shared" si="6"/>
        <v>8</v>
      </c>
      <c r="C19" s="375" t="str">
        <f t="shared" ca="1" si="5"/>
        <v/>
      </c>
      <c r="D19" s="624">
        <f t="shared" ca="1" si="3"/>
        <v>0</v>
      </c>
      <c r="E19" s="624">
        <f t="shared" ca="1" si="3"/>
        <v>0</v>
      </c>
      <c r="F19" s="624">
        <f t="shared" ca="1" si="3"/>
        <v>0</v>
      </c>
      <c r="G19" s="624">
        <f t="shared" ca="1" si="3"/>
        <v>0</v>
      </c>
      <c r="H19" s="624">
        <f t="shared" ca="1" si="3"/>
        <v>0</v>
      </c>
      <c r="I19" s="624">
        <f t="shared" ca="1" si="3"/>
        <v>0</v>
      </c>
      <c r="J19" s="624">
        <f t="shared" ca="1" si="3"/>
        <v>0</v>
      </c>
      <c r="K19" s="624">
        <f t="shared" ca="1" si="3"/>
        <v>0</v>
      </c>
      <c r="L19" s="624">
        <f t="shared" ca="1" si="3"/>
        <v>0</v>
      </c>
      <c r="M19" s="624">
        <f t="shared" ca="1" si="3"/>
        <v>0</v>
      </c>
      <c r="N19" s="624">
        <f t="shared" ca="1" si="3"/>
        <v>0</v>
      </c>
      <c r="O19" s="624">
        <f t="shared" ca="1" si="3"/>
        <v>0</v>
      </c>
      <c r="P19" s="624">
        <f t="shared" ca="1" si="3"/>
        <v>0</v>
      </c>
      <c r="Q19" s="624">
        <f t="shared" ca="1" si="3"/>
        <v>0</v>
      </c>
      <c r="R19" s="624">
        <f t="shared" ca="1" si="3"/>
        <v>0</v>
      </c>
      <c r="S19" s="624">
        <f t="shared" ca="1" si="3"/>
        <v>0</v>
      </c>
      <c r="T19" s="624">
        <f t="shared" ca="1" si="4"/>
        <v>0</v>
      </c>
    </row>
    <row r="20" spans="1:20">
      <c r="A20" s="366">
        <v>53</v>
      </c>
      <c r="B20" s="376">
        <f t="shared" si="6"/>
        <v>9</v>
      </c>
      <c r="C20" s="377" t="str">
        <f t="shared" ca="1" si="5"/>
        <v/>
      </c>
      <c r="D20" s="623">
        <f t="shared" ca="1" si="3"/>
        <v>0</v>
      </c>
      <c r="E20" s="623">
        <f t="shared" ca="1" si="3"/>
        <v>0</v>
      </c>
      <c r="F20" s="623">
        <f t="shared" ca="1" si="3"/>
        <v>0</v>
      </c>
      <c r="G20" s="623">
        <f t="shared" ca="1" si="3"/>
        <v>0</v>
      </c>
      <c r="H20" s="623">
        <f t="shared" ca="1" si="3"/>
        <v>0</v>
      </c>
      <c r="I20" s="623">
        <f t="shared" ca="1" si="3"/>
        <v>0</v>
      </c>
      <c r="J20" s="623">
        <f t="shared" ca="1" si="3"/>
        <v>0</v>
      </c>
      <c r="K20" s="623">
        <f t="shared" ca="1" si="3"/>
        <v>0</v>
      </c>
      <c r="L20" s="623">
        <f t="shared" ca="1" si="3"/>
        <v>0</v>
      </c>
      <c r="M20" s="623">
        <f t="shared" ca="1" si="3"/>
        <v>0</v>
      </c>
      <c r="N20" s="623">
        <f t="shared" ca="1" si="3"/>
        <v>0</v>
      </c>
      <c r="O20" s="623">
        <f t="shared" ca="1" si="3"/>
        <v>0</v>
      </c>
      <c r="P20" s="623">
        <f t="shared" ca="1" si="3"/>
        <v>0</v>
      </c>
      <c r="Q20" s="623">
        <f t="shared" ca="1" si="3"/>
        <v>0</v>
      </c>
      <c r="R20" s="623">
        <f t="shared" ca="1" si="3"/>
        <v>0</v>
      </c>
      <c r="S20" s="623">
        <f t="shared" ca="1" si="3"/>
        <v>0</v>
      </c>
      <c r="T20" s="623">
        <f t="shared" ca="1" si="4"/>
        <v>0</v>
      </c>
    </row>
    <row r="21" spans="1:20">
      <c r="A21" s="366">
        <v>54</v>
      </c>
      <c r="B21" s="374">
        <f t="shared" si="6"/>
        <v>10</v>
      </c>
      <c r="C21" s="375" t="str">
        <f t="shared" ca="1" si="5"/>
        <v/>
      </c>
      <c r="D21" s="624">
        <f t="shared" ca="1" si="3"/>
        <v>0</v>
      </c>
      <c r="E21" s="624">
        <f t="shared" ca="1" si="3"/>
        <v>0</v>
      </c>
      <c r="F21" s="624">
        <f t="shared" ca="1" si="3"/>
        <v>0</v>
      </c>
      <c r="G21" s="624">
        <f t="shared" ca="1" si="3"/>
        <v>0</v>
      </c>
      <c r="H21" s="624">
        <f t="shared" ca="1" si="3"/>
        <v>0</v>
      </c>
      <c r="I21" s="624">
        <f t="shared" ca="1" si="3"/>
        <v>0</v>
      </c>
      <c r="J21" s="624">
        <f t="shared" ca="1" si="3"/>
        <v>0</v>
      </c>
      <c r="K21" s="624">
        <f t="shared" ca="1" si="3"/>
        <v>0</v>
      </c>
      <c r="L21" s="624">
        <f t="shared" ca="1" si="3"/>
        <v>0</v>
      </c>
      <c r="M21" s="624">
        <f t="shared" ca="1" si="3"/>
        <v>0</v>
      </c>
      <c r="N21" s="624">
        <f t="shared" ca="1" si="3"/>
        <v>0</v>
      </c>
      <c r="O21" s="624">
        <f t="shared" ca="1" si="3"/>
        <v>0</v>
      </c>
      <c r="P21" s="624">
        <f t="shared" ca="1" si="3"/>
        <v>0</v>
      </c>
      <c r="Q21" s="624">
        <f t="shared" ca="1" si="3"/>
        <v>0</v>
      </c>
      <c r="R21" s="624">
        <f t="shared" ca="1" si="3"/>
        <v>0</v>
      </c>
      <c r="S21" s="624">
        <f t="shared" ca="1" si="3"/>
        <v>0</v>
      </c>
      <c r="T21" s="624">
        <f t="shared" ca="1" si="4"/>
        <v>0</v>
      </c>
    </row>
    <row r="22" spans="1:20">
      <c r="A22" s="366">
        <v>55</v>
      </c>
      <c r="B22" s="376">
        <f t="shared" si="6"/>
        <v>11</v>
      </c>
      <c r="C22" s="377" t="str">
        <f t="shared" ca="1" si="5"/>
        <v/>
      </c>
      <c r="D22" s="623">
        <f t="shared" ref="D22:S31" ca="1" si="7">INDIRECT(D$1&amp;"!"&amp;VLOOKUP($C$3,mdr,2,0)&amp;$A22)</f>
        <v>0</v>
      </c>
      <c r="E22" s="623">
        <f t="shared" ca="1" si="7"/>
        <v>0</v>
      </c>
      <c r="F22" s="623">
        <f t="shared" ca="1" si="7"/>
        <v>0</v>
      </c>
      <c r="G22" s="623">
        <f t="shared" ca="1" si="7"/>
        <v>0</v>
      </c>
      <c r="H22" s="623">
        <f t="shared" ca="1" si="7"/>
        <v>0</v>
      </c>
      <c r="I22" s="623">
        <f t="shared" ca="1" si="7"/>
        <v>0</v>
      </c>
      <c r="J22" s="623">
        <f t="shared" ca="1" si="7"/>
        <v>0</v>
      </c>
      <c r="K22" s="623">
        <f t="shared" ca="1" si="7"/>
        <v>0</v>
      </c>
      <c r="L22" s="623">
        <f t="shared" ca="1" si="7"/>
        <v>0</v>
      </c>
      <c r="M22" s="623">
        <f t="shared" ca="1" si="7"/>
        <v>0</v>
      </c>
      <c r="N22" s="623">
        <f t="shared" ca="1" si="7"/>
        <v>0</v>
      </c>
      <c r="O22" s="623">
        <f t="shared" ca="1" si="7"/>
        <v>0</v>
      </c>
      <c r="P22" s="623">
        <f t="shared" ca="1" si="7"/>
        <v>0</v>
      </c>
      <c r="Q22" s="623">
        <f t="shared" ca="1" si="7"/>
        <v>0</v>
      </c>
      <c r="R22" s="623">
        <f t="shared" ca="1" si="7"/>
        <v>0</v>
      </c>
      <c r="S22" s="623">
        <f t="shared" ca="1" si="7"/>
        <v>0</v>
      </c>
      <c r="T22" s="623">
        <f t="shared" ca="1" si="4"/>
        <v>0</v>
      </c>
    </row>
    <row r="23" spans="1:20">
      <c r="A23" s="366">
        <v>56</v>
      </c>
      <c r="B23" s="374">
        <f t="shared" si="6"/>
        <v>12</v>
      </c>
      <c r="C23" s="375" t="str">
        <f t="shared" ca="1" si="5"/>
        <v/>
      </c>
      <c r="D23" s="624">
        <f t="shared" ca="1" si="7"/>
        <v>0</v>
      </c>
      <c r="E23" s="624">
        <f t="shared" ca="1" si="7"/>
        <v>0</v>
      </c>
      <c r="F23" s="624">
        <f t="shared" ca="1" si="7"/>
        <v>0</v>
      </c>
      <c r="G23" s="624">
        <f t="shared" ca="1" si="7"/>
        <v>0</v>
      </c>
      <c r="H23" s="624">
        <f t="shared" ca="1" si="7"/>
        <v>0</v>
      </c>
      <c r="I23" s="624">
        <f t="shared" ca="1" si="7"/>
        <v>0</v>
      </c>
      <c r="J23" s="624">
        <f t="shared" ca="1" si="7"/>
        <v>0</v>
      </c>
      <c r="K23" s="624">
        <f t="shared" ca="1" si="7"/>
        <v>0</v>
      </c>
      <c r="L23" s="624">
        <f t="shared" ca="1" si="7"/>
        <v>0</v>
      </c>
      <c r="M23" s="624">
        <f t="shared" ca="1" si="7"/>
        <v>0</v>
      </c>
      <c r="N23" s="624">
        <f t="shared" ca="1" si="7"/>
        <v>0</v>
      </c>
      <c r="O23" s="624">
        <f t="shared" ca="1" si="7"/>
        <v>0</v>
      </c>
      <c r="P23" s="624">
        <f t="shared" ca="1" si="7"/>
        <v>0</v>
      </c>
      <c r="Q23" s="624">
        <f t="shared" ca="1" si="7"/>
        <v>0</v>
      </c>
      <c r="R23" s="624">
        <f t="shared" ca="1" si="7"/>
        <v>0</v>
      </c>
      <c r="S23" s="624">
        <f t="shared" ca="1" si="7"/>
        <v>0</v>
      </c>
      <c r="T23" s="624">
        <f t="shared" ca="1" si="4"/>
        <v>0</v>
      </c>
    </row>
    <row r="24" spans="1:20">
      <c r="A24" s="366">
        <v>57</v>
      </c>
      <c r="B24" s="376">
        <f t="shared" si="6"/>
        <v>13</v>
      </c>
      <c r="C24" s="377" t="str">
        <f t="shared" ca="1" si="5"/>
        <v/>
      </c>
      <c r="D24" s="623">
        <f t="shared" ca="1" si="7"/>
        <v>0</v>
      </c>
      <c r="E24" s="623">
        <f t="shared" ca="1" si="7"/>
        <v>0</v>
      </c>
      <c r="F24" s="623">
        <f t="shared" ca="1" si="7"/>
        <v>0</v>
      </c>
      <c r="G24" s="623">
        <f t="shared" ca="1" si="7"/>
        <v>0</v>
      </c>
      <c r="H24" s="623">
        <f t="shared" ca="1" si="7"/>
        <v>0</v>
      </c>
      <c r="I24" s="623">
        <f t="shared" ca="1" si="7"/>
        <v>0</v>
      </c>
      <c r="J24" s="623">
        <f t="shared" ca="1" si="7"/>
        <v>0</v>
      </c>
      <c r="K24" s="623">
        <f t="shared" ca="1" si="7"/>
        <v>0</v>
      </c>
      <c r="L24" s="623">
        <f t="shared" ca="1" si="7"/>
        <v>0</v>
      </c>
      <c r="M24" s="623">
        <f t="shared" ca="1" si="7"/>
        <v>0</v>
      </c>
      <c r="N24" s="623">
        <f t="shared" ca="1" si="7"/>
        <v>0</v>
      </c>
      <c r="O24" s="623">
        <f t="shared" ca="1" si="7"/>
        <v>0</v>
      </c>
      <c r="P24" s="623">
        <f t="shared" ca="1" si="7"/>
        <v>0</v>
      </c>
      <c r="Q24" s="623">
        <f t="shared" ca="1" si="7"/>
        <v>0</v>
      </c>
      <c r="R24" s="623">
        <f t="shared" ca="1" si="7"/>
        <v>0</v>
      </c>
      <c r="S24" s="623">
        <f t="shared" ca="1" si="7"/>
        <v>0</v>
      </c>
      <c r="T24" s="623">
        <f t="shared" ca="1" si="4"/>
        <v>0</v>
      </c>
    </row>
    <row r="25" spans="1:20">
      <c r="A25" s="366">
        <v>58</v>
      </c>
      <c r="B25" s="374">
        <f t="shared" si="6"/>
        <v>14</v>
      </c>
      <c r="C25" s="375" t="str">
        <f t="shared" ca="1" si="5"/>
        <v/>
      </c>
      <c r="D25" s="624">
        <f t="shared" ca="1" si="7"/>
        <v>0</v>
      </c>
      <c r="E25" s="624">
        <f t="shared" ca="1" si="7"/>
        <v>0</v>
      </c>
      <c r="F25" s="624">
        <f t="shared" ca="1" si="7"/>
        <v>0</v>
      </c>
      <c r="G25" s="624">
        <f t="shared" ca="1" si="7"/>
        <v>0</v>
      </c>
      <c r="H25" s="624">
        <f t="shared" ca="1" si="7"/>
        <v>0</v>
      </c>
      <c r="I25" s="624">
        <f t="shared" ca="1" si="7"/>
        <v>0</v>
      </c>
      <c r="J25" s="624">
        <f t="shared" ca="1" si="7"/>
        <v>0</v>
      </c>
      <c r="K25" s="624">
        <f t="shared" ca="1" si="7"/>
        <v>0</v>
      </c>
      <c r="L25" s="624">
        <f t="shared" ca="1" si="7"/>
        <v>0</v>
      </c>
      <c r="M25" s="624">
        <f t="shared" ca="1" si="7"/>
        <v>0</v>
      </c>
      <c r="N25" s="624">
        <f t="shared" ca="1" si="7"/>
        <v>0</v>
      </c>
      <c r="O25" s="624">
        <f t="shared" ca="1" si="7"/>
        <v>0</v>
      </c>
      <c r="P25" s="624">
        <f t="shared" ca="1" si="7"/>
        <v>0</v>
      </c>
      <c r="Q25" s="624">
        <f t="shared" ca="1" si="7"/>
        <v>0</v>
      </c>
      <c r="R25" s="624">
        <f t="shared" ca="1" si="7"/>
        <v>0</v>
      </c>
      <c r="S25" s="624">
        <f t="shared" ca="1" si="7"/>
        <v>0</v>
      </c>
      <c r="T25" s="624">
        <f t="shared" ca="1" si="4"/>
        <v>0</v>
      </c>
    </row>
    <row r="26" spans="1:20">
      <c r="A26" s="366">
        <v>59</v>
      </c>
      <c r="B26" s="376">
        <f t="shared" si="6"/>
        <v>15</v>
      </c>
      <c r="C26" s="377" t="str">
        <f t="shared" ca="1" si="5"/>
        <v/>
      </c>
      <c r="D26" s="623">
        <f t="shared" ca="1" si="7"/>
        <v>0</v>
      </c>
      <c r="E26" s="623">
        <f t="shared" ca="1" si="7"/>
        <v>0</v>
      </c>
      <c r="F26" s="623">
        <f t="shared" ca="1" si="7"/>
        <v>0</v>
      </c>
      <c r="G26" s="623">
        <f t="shared" ca="1" si="7"/>
        <v>0</v>
      </c>
      <c r="H26" s="623">
        <f t="shared" ca="1" si="7"/>
        <v>0</v>
      </c>
      <c r="I26" s="623">
        <f t="shared" ca="1" si="7"/>
        <v>0</v>
      </c>
      <c r="J26" s="623">
        <f t="shared" ca="1" si="7"/>
        <v>0</v>
      </c>
      <c r="K26" s="623">
        <f t="shared" ca="1" si="7"/>
        <v>0</v>
      </c>
      <c r="L26" s="623">
        <f t="shared" ca="1" si="7"/>
        <v>0</v>
      </c>
      <c r="M26" s="623">
        <f t="shared" ca="1" si="7"/>
        <v>0</v>
      </c>
      <c r="N26" s="623">
        <f t="shared" ca="1" si="7"/>
        <v>0</v>
      </c>
      <c r="O26" s="623">
        <f t="shared" ca="1" si="7"/>
        <v>0</v>
      </c>
      <c r="P26" s="623">
        <f t="shared" ca="1" si="7"/>
        <v>0</v>
      </c>
      <c r="Q26" s="623">
        <f t="shared" ca="1" si="7"/>
        <v>0</v>
      </c>
      <c r="R26" s="623">
        <f t="shared" ca="1" si="7"/>
        <v>0</v>
      </c>
      <c r="S26" s="623">
        <f t="shared" ca="1" si="7"/>
        <v>0</v>
      </c>
      <c r="T26" s="623">
        <f t="shared" ca="1" si="4"/>
        <v>0</v>
      </c>
    </row>
    <row r="27" spans="1:20">
      <c r="A27" s="366">
        <v>60</v>
      </c>
      <c r="B27" s="374">
        <f t="shared" si="6"/>
        <v>16</v>
      </c>
      <c r="C27" s="375" t="str">
        <f t="shared" ca="1" si="5"/>
        <v/>
      </c>
      <c r="D27" s="624">
        <f t="shared" ca="1" si="7"/>
        <v>0</v>
      </c>
      <c r="E27" s="624">
        <f t="shared" ca="1" si="7"/>
        <v>0</v>
      </c>
      <c r="F27" s="624">
        <f t="shared" ca="1" si="7"/>
        <v>0</v>
      </c>
      <c r="G27" s="624">
        <f t="shared" ca="1" si="7"/>
        <v>0</v>
      </c>
      <c r="H27" s="624">
        <f t="shared" ca="1" si="7"/>
        <v>0</v>
      </c>
      <c r="I27" s="624">
        <f t="shared" ca="1" si="7"/>
        <v>0</v>
      </c>
      <c r="J27" s="624">
        <f t="shared" ca="1" si="7"/>
        <v>0</v>
      </c>
      <c r="K27" s="624">
        <f t="shared" ca="1" si="7"/>
        <v>0</v>
      </c>
      <c r="L27" s="624">
        <f t="shared" ca="1" si="7"/>
        <v>0</v>
      </c>
      <c r="M27" s="624">
        <f t="shared" ca="1" si="7"/>
        <v>0</v>
      </c>
      <c r="N27" s="624">
        <f t="shared" ca="1" si="7"/>
        <v>0</v>
      </c>
      <c r="O27" s="624">
        <f t="shared" ca="1" si="7"/>
        <v>0</v>
      </c>
      <c r="P27" s="624">
        <f t="shared" ca="1" si="7"/>
        <v>0</v>
      </c>
      <c r="Q27" s="624">
        <f t="shared" ca="1" si="7"/>
        <v>0</v>
      </c>
      <c r="R27" s="624">
        <f t="shared" ca="1" si="7"/>
        <v>0</v>
      </c>
      <c r="S27" s="624">
        <f t="shared" ca="1" si="7"/>
        <v>0</v>
      </c>
      <c r="T27" s="624">
        <f t="shared" ca="1" si="4"/>
        <v>0</v>
      </c>
    </row>
    <row r="28" spans="1:20">
      <c r="A28" s="366">
        <v>61</v>
      </c>
      <c r="B28" s="376">
        <f t="shared" si="6"/>
        <v>17</v>
      </c>
      <c r="C28" s="377" t="str">
        <f t="shared" ca="1" si="5"/>
        <v/>
      </c>
      <c r="D28" s="623">
        <f t="shared" ca="1" si="7"/>
        <v>0</v>
      </c>
      <c r="E28" s="623">
        <f t="shared" ca="1" si="7"/>
        <v>0</v>
      </c>
      <c r="F28" s="623">
        <f t="shared" ca="1" si="7"/>
        <v>0</v>
      </c>
      <c r="G28" s="623">
        <f t="shared" ca="1" si="7"/>
        <v>0</v>
      </c>
      <c r="H28" s="623">
        <f t="shared" ca="1" si="7"/>
        <v>0</v>
      </c>
      <c r="I28" s="623">
        <f t="shared" ca="1" si="7"/>
        <v>0</v>
      </c>
      <c r="J28" s="623">
        <f t="shared" ca="1" si="7"/>
        <v>0</v>
      </c>
      <c r="K28" s="623">
        <f t="shared" ca="1" si="7"/>
        <v>0</v>
      </c>
      <c r="L28" s="623">
        <f t="shared" ca="1" si="7"/>
        <v>0</v>
      </c>
      <c r="M28" s="623">
        <f t="shared" ca="1" si="7"/>
        <v>0</v>
      </c>
      <c r="N28" s="623">
        <f t="shared" ca="1" si="7"/>
        <v>0</v>
      </c>
      <c r="O28" s="623">
        <f t="shared" ca="1" si="7"/>
        <v>0</v>
      </c>
      <c r="P28" s="623">
        <f t="shared" ca="1" si="7"/>
        <v>0</v>
      </c>
      <c r="Q28" s="623">
        <f t="shared" ca="1" si="7"/>
        <v>0</v>
      </c>
      <c r="R28" s="623">
        <f t="shared" ca="1" si="7"/>
        <v>0</v>
      </c>
      <c r="S28" s="623">
        <f t="shared" ca="1" si="7"/>
        <v>0</v>
      </c>
      <c r="T28" s="623">
        <f t="shared" ca="1" si="4"/>
        <v>0</v>
      </c>
    </row>
    <row r="29" spans="1:20">
      <c r="A29" s="366">
        <v>62</v>
      </c>
      <c r="B29" s="374">
        <f t="shared" si="6"/>
        <v>18</v>
      </c>
      <c r="C29" s="375" t="str">
        <f t="shared" ca="1" si="5"/>
        <v/>
      </c>
      <c r="D29" s="624">
        <f t="shared" ca="1" si="7"/>
        <v>0</v>
      </c>
      <c r="E29" s="624">
        <f t="shared" ca="1" si="7"/>
        <v>0</v>
      </c>
      <c r="F29" s="624">
        <f t="shared" ca="1" si="7"/>
        <v>0</v>
      </c>
      <c r="G29" s="624">
        <f t="shared" ca="1" si="7"/>
        <v>0</v>
      </c>
      <c r="H29" s="624">
        <f t="shared" ca="1" si="7"/>
        <v>0</v>
      </c>
      <c r="I29" s="624">
        <f t="shared" ca="1" si="7"/>
        <v>0</v>
      </c>
      <c r="J29" s="624">
        <f t="shared" ca="1" si="7"/>
        <v>0</v>
      </c>
      <c r="K29" s="624">
        <f t="shared" ca="1" si="7"/>
        <v>0</v>
      </c>
      <c r="L29" s="624">
        <f t="shared" ca="1" si="7"/>
        <v>0</v>
      </c>
      <c r="M29" s="624">
        <f t="shared" ca="1" si="7"/>
        <v>0</v>
      </c>
      <c r="N29" s="624">
        <f t="shared" ca="1" si="7"/>
        <v>0</v>
      </c>
      <c r="O29" s="624">
        <f t="shared" ca="1" si="7"/>
        <v>0</v>
      </c>
      <c r="P29" s="624">
        <f t="shared" ca="1" si="7"/>
        <v>0</v>
      </c>
      <c r="Q29" s="624">
        <f t="shared" ca="1" si="7"/>
        <v>0</v>
      </c>
      <c r="R29" s="624">
        <f t="shared" ca="1" si="7"/>
        <v>0</v>
      </c>
      <c r="S29" s="624">
        <f t="shared" ca="1" si="7"/>
        <v>0</v>
      </c>
      <c r="T29" s="624">
        <f t="shared" ca="1" si="4"/>
        <v>0</v>
      </c>
    </row>
    <row r="30" spans="1:20">
      <c r="A30" s="366">
        <v>63</v>
      </c>
      <c r="B30" s="376">
        <f t="shared" si="6"/>
        <v>19</v>
      </c>
      <c r="C30" s="377" t="str">
        <f t="shared" ca="1" si="5"/>
        <v/>
      </c>
      <c r="D30" s="623">
        <f t="shared" ca="1" si="7"/>
        <v>0</v>
      </c>
      <c r="E30" s="623">
        <f t="shared" ca="1" si="7"/>
        <v>0</v>
      </c>
      <c r="F30" s="623">
        <f t="shared" ca="1" si="7"/>
        <v>0</v>
      </c>
      <c r="G30" s="623">
        <f t="shared" ca="1" si="7"/>
        <v>0</v>
      </c>
      <c r="H30" s="623">
        <f t="shared" ca="1" si="7"/>
        <v>0</v>
      </c>
      <c r="I30" s="623">
        <f t="shared" ca="1" si="7"/>
        <v>0</v>
      </c>
      <c r="J30" s="623">
        <f t="shared" ca="1" si="7"/>
        <v>0</v>
      </c>
      <c r="K30" s="623">
        <f t="shared" ca="1" si="7"/>
        <v>0</v>
      </c>
      <c r="L30" s="623">
        <f t="shared" ca="1" si="7"/>
        <v>0</v>
      </c>
      <c r="M30" s="623">
        <f t="shared" ca="1" si="7"/>
        <v>0</v>
      </c>
      <c r="N30" s="623">
        <f t="shared" ca="1" si="7"/>
        <v>0</v>
      </c>
      <c r="O30" s="623">
        <f t="shared" ca="1" si="7"/>
        <v>0</v>
      </c>
      <c r="P30" s="623">
        <f t="shared" ca="1" si="7"/>
        <v>0</v>
      </c>
      <c r="Q30" s="623">
        <f t="shared" ca="1" si="7"/>
        <v>0</v>
      </c>
      <c r="R30" s="623">
        <f t="shared" ca="1" si="7"/>
        <v>0</v>
      </c>
      <c r="S30" s="623">
        <f t="shared" ca="1" si="7"/>
        <v>0</v>
      </c>
      <c r="T30" s="623">
        <f t="shared" ca="1" si="4"/>
        <v>0</v>
      </c>
    </row>
    <row r="31" spans="1:20">
      <c r="A31" s="366">
        <v>64</v>
      </c>
      <c r="B31" s="374">
        <f t="shared" si="6"/>
        <v>20</v>
      </c>
      <c r="C31" s="375" t="str">
        <f t="shared" ca="1" si="5"/>
        <v/>
      </c>
      <c r="D31" s="624">
        <f t="shared" ca="1" si="7"/>
        <v>0</v>
      </c>
      <c r="E31" s="624">
        <f t="shared" ca="1" si="7"/>
        <v>0</v>
      </c>
      <c r="F31" s="624">
        <f t="shared" ca="1" si="7"/>
        <v>0</v>
      </c>
      <c r="G31" s="624">
        <f t="shared" ca="1" si="7"/>
        <v>0</v>
      </c>
      <c r="H31" s="624">
        <f t="shared" ca="1" si="7"/>
        <v>0</v>
      </c>
      <c r="I31" s="624">
        <f t="shared" ca="1" si="7"/>
        <v>0</v>
      </c>
      <c r="J31" s="624">
        <f t="shared" ca="1" si="7"/>
        <v>0</v>
      </c>
      <c r="K31" s="624">
        <f t="shared" ca="1" si="7"/>
        <v>0</v>
      </c>
      <c r="L31" s="624">
        <f t="shared" ca="1" si="7"/>
        <v>0</v>
      </c>
      <c r="M31" s="624">
        <f t="shared" ca="1" si="7"/>
        <v>0</v>
      </c>
      <c r="N31" s="624">
        <f t="shared" ca="1" si="7"/>
        <v>0</v>
      </c>
      <c r="O31" s="624">
        <f t="shared" ca="1" si="7"/>
        <v>0</v>
      </c>
      <c r="P31" s="624">
        <f t="shared" ca="1" si="7"/>
        <v>0</v>
      </c>
      <c r="Q31" s="624">
        <f t="shared" ca="1" si="7"/>
        <v>0</v>
      </c>
      <c r="R31" s="624">
        <f t="shared" ca="1" si="7"/>
        <v>0</v>
      </c>
      <c r="S31" s="624">
        <f t="shared" ca="1" si="7"/>
        <v>0</v>
      </c>
      <c r="T31" s="624">
        <f t="shared" ca="1" si="4"/>
        <v>0</v>
      </c>
    </row>
    <row r="32" spans="1:20">
      <c r="A32" s="366">
        <v>65</v>
      </c>
      <c r="B32" s="376">
        <f t="shared" si="6"/>
        <v>21</v>
      </c>
      <c r="C32" s="377" t="str">
        <f t="shared" ca="1" si="5"/>
        <v/>
      </c>
      <c r="D32" s="623">
        <f t="shared" ref="D32:S41" ca="1" si="8">INDIRECT(D$1&amp;"!"&amp;VLOOKUP($C$3,mdr,2,0)&amp;$A32)</f>
        <v>0</v>
      </c>
      <c r="E32" s="623">
        <f t="shared" ca="1" si="8"/>
        <v>0</v>
      </c>
      <c r="F32" s="623">
        <f t="shared" ca="1" si="8"/>
        <v>0</v>
      </c>
      <c r="G32" s="623">
        <f t="shared" ca="1" si="8"/>
        <v>0</v>
      </c>
      <c r="H32" s="623">
        <f t="shared" ca="1" si="8"/>
        <v>0</v>
      </c>
      <c r="I32" s="623">
        <f t="shared" ca="1" si="8"/>
        <v>0</v>
      </c>
      <c r="J32" s="623">
        <f t="shared" ca="1" si="8"/>
        <v>0</v>
      </c>
      <c r="K32" s="623">
        <f t="shared" ca="1" si="8"/>
        <v>0</v>
      </c>
      <c r="L32" s="623">
        <f t="shared" ca="1" si="8"/>
        <v>0</v>
      </c>
      <c r="M32" s="623">
        <f t="shared" ca="1" si="8"/>
        <v>0</v>
      </c>
      <c r="N32" s="623">
        <f t="shared" ca="1" si="8"/>
        <v>0</v>
      </c>
      <c r="O32" s="623">
        <f t="shared" ca="1" si="8"/>
        <v>0</v>
      </c>
      <c r="P32" s="623">
        <f t="shared" ca="1" si="8"/>
        <v>0</v>
      </c>
      <c r="Q32" s="623">
        <f t="shared" ca="1" si="8"/>
        <v>0</v>
      </c>
      <c r="R32" s="623">
        <f t="shared" ca="1" si="8"/>
        <v>0</v>
      </c>
      <c r="S32" s="623">
        <f t="shared" ca="1" si="8"/>
        <v>0</v>
      </c>
      <c r="T32" s="623">
        <f t="shared" ca="1" si="4"/>
        <v>0</v>
      </c>
    </row>
    <row r="33" spans="1:20">
      <c r="A33" s="366">
        <v>66</v>
      </c>
      <c r="B33" s="374">
        <f t="shared" si="6"/>
        <v>22</v>
      </c>
      <c r="C33" s="375" t="str">
        <f t="shared" ca="1" si="5"/>
        <v/>
      </c>
      <c r="D33" s="624">
        <f t="shared" ca="1" si="8"/>
        <v>0</v>
      </c>
      <c r="E33" s="624">
        <f t="shared" ca="1" si="8"/>
        <v>0</v>
      </c>
      <c r="F33" s="624">
        <f t="shared" ca="1" si="8"/>
        <v>0</v>
      </c>
      <c r="G33" s="624">
        <f t="shared" ca="1" si="8"/>
        <v>0</v>
      </c>
      <c r="H33" s="624">
        <f t="shared" ca="1" si="8"/>
        <v>0</v>
      </c>
      <c r="I33" s="624">
        <f t="shared" ca="1" si="8"/>
        <v>0</v>
      </c>
      <c r="J33" s="624">
        <f t="shared" ca="1" si="8"/>
        <v>0</v>
      </c>
      <c r="K33" s="624">
        <f t="shared" ca="1" si="8"/>
        <v>0</v>
      </c>
      <c r="L33" s="624">
        <f t="shared" ca="1" si="8"/>
        <v>0</v>
      </c>
      <c r="M33" s="624">
        <f t="shared" ca="1" si="8"/>
        <v>0</v>
      </c>
      <c r="N33" s="624">
        <f t="shared" ca="1" si="8"/>
        <v>0</v>
      </c>
      <c r="O33" s="624">
        <f t="shared" ca="1" si="8"/>
        <v>0</v>
      </c>
      <c r="P33" s="624">
        <f t="shared" ca="1" si="8"/>
        <v>0</v>
      </c>
      <c r="Q33" s="624">
        <f t="shared" ca="1" si="8"/>
        <v>0</v>
      </c>
      <c r="R33" s="624">
        <f t="shared" ca="1" si="8"/>
        <v>0</v>
      </c>
      <c r="S33" s="624">
        <f t="shared" ca="1" si="8"/>
        <v>0</v>
      </c>
      <c r="T33" s="624">
        <f t="shared" ca="1" si="4"/>
        <v>0</v>
      </c>
    </row>
    <row r="34" spans="1:20">
      <c r="A34" s="366">
        <v>67</v>
      </c>
      <c r="B34" s="376">
        <f t="shared" si="6"/>
        <v>23</v>
      </c>
      <c r="C34" s="377" t="str">
        <f t="shared" ca="1" si="5"/>
        <v/>
      </c>
      <c r="D34" s="623">
        <f t="shared" ca="1" si="8"/>
        <v>0</v>
      </c>
      <c r="E34" s="623">
        <f t="shared" ca="1" si="8"/>
        <v>0</v>
      </c>
      <c r="F34" s="623">
        <f t="shared" ca="1" si="8"/>
        <v>0</v>
      </c>
      <c r="G34" s="623">
        <f t="shared" ca="1" si="8"/>
        <v>0</v>
      </c>
      <c r="H34" s="623">
        <f t="shared" ca="1" si="8"/>
        <v>0</v>
      </c>
      <c r="I34" s="623">
        <f t="shared" ca="1" si="8"/>
        <v>0</v>
      </c>
      <c r="J34" s="623">
        <f t="shared" ca="1" si="8"/>
        <v>0</v>
      </c>
      <c r="K34" s="623">
        <f t="shared" ca="1" si="8"/>
        <v>0</v>
      </c>
      <c r="L34" s="623">
        <f t="shared" ca="1" si="8"/>
        <v>0</v>
      </c>
      <c r="M34" s="623">
        <f t="shared" ca="1" si="8"/>
        <v>0</v>
      </c>
      <c r="N34" s="623">
        <f t="shared" ca="1" si="8"/>
        <v>0</v>
      </c>
      <c r="O34" s="623">
        <f t="shared" ca="1" si="8"/>
        <v>0</v>
      </c>
      <c r="P34" s="623">
        <f t="shared" ca="1" si="8"/>
        <v>0</v>
      </c>
      <c r="Q34" s="623">
        <f t="shared" ca="1" si="8"/>
        <v>0</v>
      </c>
      <c r="R34" s="623">
        <f t="shared" ca="1" si="8"/>
        <v>0</v>
      </c>
      <c r="S34" s="623">
        <f t="shared" ca="1" si="8"/>
        <v>0</v>
      </c>
      <c r="T34" s="623">
        <f t="shared" ca="1" si="4"/>
        <v>0</v>
      </c>
    </row>
    <row r="35" spans="1:20">
      <c r="A35" s="366">
        <v>68</v>
      </c>
      <c r="B35" s="374">
        <f t="shared" si="6"/>
        <v>24</v>
      </c>
      <c r="C35" s="375" t="str">
        <f t="shared" ca="1" si="5"/>
        <v/>
      </c>
      <c r="D35" s="624">
        <f t="shared" ca="1" si="8"/>
        <v>0</v>
      </c>
      <c r="E35" s="624">
        <f t="shared" ca="1" si="8"/>
        <v>0</v>
      </c>
      <c r="F35" s="624">
        <f t="shared" ca="1" si="8"/>
        <v>0</v>
      </c>
      <c r="G35" s="624">
        <f t="shared" ca="1" si="8"/>
        <v>0</v>
      </c>
      <c r="H35" s="624">
        <f t="shared" ca="1" si="8"/>
        <v>0</v>
      </c>
      <c r="I35" s="624">
        <f t="shared" ca="1" si="8"/>
        <v>0</v>
      </c>
      <c r="J35" s="624">
        <f t="shared" ca="1" si="8"/>
        <v>0</v>
      </c>
      <c r="K35" s="624">
        <f t="shared" ca="1" si="8"/>
        <v>0</v>
      </c>
      <c r="L35" s="624">
        <f t="shared" ca="1" si="8"/>
        <v>0</v>
      </c>
      <c r="M35" s="624">
        <f t="shared" ca="1" si="8"/>
        <v>0</v>
      </c>
      <c r="N35" s="624">
        <f t="shared" ca="1" si="8"/>
        <v>0</v>
      </c>
      <c r="O35" s="624">
        <f t="shared" ca="1" si="8"/>
        <v>0</v>
      </c>
      <c r="P35" s="624">
        <f t="shared" ca="1" si="8"/>
        <v>0</v>
      </c>
      <c r="Q35" s="624">
        <f t="shared" ca="1" si="8"/>
        <v>0</v>
      </c>
      <c r="R35" s="624">
        <f t="shared" ca="1" si="8"/>
        <v>0</v>
      </c>
      <c r="S35" s="624">
        <f t="shared" ca="1" si="8"/>
        <v>0</v>
      </c>
      <c r="T35" s="624">
        <f t="shared" ca="1" si="4"/>
        <v>0</v>
      </c>
    </row>
    <row r="36" spans="1:20">
      <c r="A36" s="366">
        <v>69</v>
      </c>
      <c r="B36" s="376">
        <f t="shared" si="6"/>
        <v>25</v>
      </c>
      <c r="C36" s="377" t="str">
        <f t="shared" ca="1" si="5"/>
        <v/>
      </c>
      <c r="D36" s="623">
        <f t="shared" ca="1" si="8"/>
        <v>0</v>
      </c>
      <c r="E36" s="623">
        <f t="shared" ca="1" si="8"/>
        <v>0</v>
      </c>
      <c r="F36" s="623">
        <f t="shared" ca="1" si="8"/>
        <v>0</v>
      </c>
      <c r="G36" s="623">
        <f t="shared" ca="1" si="8"/>
        <v>0</v>
      </c>
      <c r="H36" s="623">
        <f t="shared" ca="1" si="8"/>
        <v>0</v>
      </c>
      <c r="I36" s="623">
        <f t="shared" ca="1" si="8"/>
        <v>0</v>
      </c>
      <c r="J36" s="623">
        <f t="shared" ca="1" si="8"/>
        <v>0</v>
      </c>
      <c r="K36" s="623">
        <f t="shared" ca="1" si="8"/>
        <v>0</v>
      </c>
      <c r="L36" s="623">
        <f t="shared" ca="1" si="8"/>
        <v>0</v>
      </c>
      <c r="M36" s="623">
        <f t="shared" ca="1" si="8"/>
        <v>0</v>
      </c>
      <c r="N36" s="623">
        <f t="shared" ca="1" si="8"/>
        <v>0</v>
      </c>
      <c r="O36" s="623">
        <f t="shared" ca="1" si="8"/>
        <v>0</v>
      </c>
      <c r="P36" s="623">
        <f t="shared" ca="1" si="8"/>
        <v>0</v>
      </c>
      <c r="Q36" s="623">
        <f t="shared" ca="1" si="8"/>
        <v>0</v>
      </c>
      <c r="R36" s="623">
        <f t="shared" ca="1" si="8"/>
        <v>0</v>
      </c>
      <c r="S36" s="623">
        <f t="shared" ca="1" si="8"/>
        <v>0</v>
      </c>
      <c r="T36" s="623">
        <f t="shared" ca="1" si="4"/>
        <v>0</v>
      </c>
    </row>
    <row r="37" spans="1:20">
      <c r="A37" s="366">
        <v>70</v>
      </c>
      <c r="B37" s="374">
        <f t="shared" si="6"/>
        <v>26</v>
      </c>
      <c r="C37" s="375" t="str">
        <f t="shared" ca="1" si="5"/>
        <v/>
      </c>
      <c r="D37" s="624">
        <f t="shared" ca="1" si="8"/>
        <v>0</v>
      </c>
      <c r="E37" s="624">
        <f t="shared" ca="1" si="8"/>
        <v>0</v>
      </c>
      <c r="F37" s="624">
        <f t="shared" ca="1" si="8"/>
        <v>0</v>
      </c>
      <c r="G37" s="624">
        <f t="shared" ca="1" si="8"/>
        <v>0</v>
      </c>
      <c r="H37" s="624">
        <f t="shared" ca="1" si="8"/>
        <v>0</v>
      </c>
      <c r="I37" s="624">
        <f t="shared" ca="1" si="8"/>
        <v>0</v>
      </c>
      <c r="J37" s="624">
        <f t="shared" ca="1" si="8"/>
        <v>0</v>
      </c>
      <c r="K37" s="624">
        <f t="shared" ca="1" si="8"/>
        <v>0</v>
      </c>
      <c r="L37" s="624">
        <f t="shared" ca="1" si="8"/>
        <v>0</v>
      </c>
      <c r="M37" s="624">
        <f t="shared" ca="1" si="8"/>
        <v>0</v>
      </c>
      <c r="N37" s="624">
        <f t="shared" ca="1" si="8"/>
        <v>0</v>
      </c>
      <c r="O37" s="624">
        <f t="shared" ca="1" si="8"/>
        <v>0</v>
      </c>
      <c r="P37" s="624">
        <f t="shared" ca="1" si="8"/>
        <v>0</v>
      </c>
      <c r="Q37" s="624">
        <f t="shared" ca="1" si="8"/>
        <v>0</v>
      </c>
      <c r="R37" s="624">
        <f t="shared" ca="1" si="8"/>
        <v>0</v>
      </c>
      <c r="S37" s="624">
        <f t="shared" ca="1" si="8"/>
        <v>0</v>
      </c>
      <c r="T37" s="624">
        <f t="shared" ca="1" si="4"/>
        <v>0</v>
      </c>
    </row>
    <row r="38" spans="1:20">
      <c r="A38" s="366">
        <v>71</v>
      </c>
      <c r="B38" s="376">
        <f>B37+1</f>
        <v>27</v>
      </c>
      <c r="C38" s="377" t="str">
        <f t="shared" ca="1" si="5"/>
        <v/>
      </c>
      <c r="D38" s="623">
        <f t="shared" ca="1" si="8"/>
        <v>0</v>
      </c>
      <c r="E38" s="623">
        <f t="shared" ca="1" si="8"/>
        <v>0</v>
      </c>
      <c r="F38" s="623">
        <f t="shared" ca="1" si="8"/>
        <v>0</v>
      </c>
      <c r="G38" s="623">
        <f t="shared" ca="1" si="8"/>
        <v>0</v>
      </c>
      <c r="H38" s="623">
        <f t="shared" ca="1" si="8"/>
        <v>0</v>
      </c>
      <c r="I38" s="623">
        <f t="shared" ca="1" si="8"/>
        <v>0</v>
      </c>
      <c r="J38" s="623">
        <f t="shared" ca="1" si="8"/>
        <v>0</v>
      </c>
      <c r="K38" s="623">
        <f t="shared" ca="1" si="8"/>
        <v>0</v>
      </c>
      <c r="L38" s="623">
        <f t="shared" ca="1" si="8"/>
        <v>0</v>
      </c>
      <c r="M38" s="623">
        <f t="shared" ca="1" si="8"/>
        <v>0</v>
      </c>
      <c r="N38" s="623">
        <f t="shared" ca="1" si="8"/>
        <v>0</v>
      </c>
      <c r="O38" s="623">
        <f t="shared" ca="1" si="8"/>
        <v>0</v>
      </c>
      <c r="P38" s="623">
        <f t="shared" ca="1" si="8"/>
        <v>0</v>
      </c>
      <c r="Q38" s="623">
        <f t="shared" ca="1" si="8"/>
        <v>0</v>
      </c>
      <c r="R38" s="623">
        <f t="shared" ca="1" si="8"/>
        <v>0</v>
      </c>
      <c r="S38" s="623">
        <f t="shared" ca="1" si="8"/>
        <v>0</v>
      </c>
      <c r="T38" s="623">
        <f t="shared" ca="1" si="4"/>
        <v>0</v>
      </c>
    </row>
    <row r="39" spans="1:20">
      <c r="A39" s="366">
        <v>72</v>
      </c>
      <c r="B39" s="374">
        <f>B38+1</f>
        <v>28</v>
      </c>
      <c r="C39" s="375" t="str">
        <f t="shared" ca="1" si="5"/>
        <v/>
      </c>
      <c r="D39" s="624">
        <f t="shared" ca="1" si="8"/>
        <v>0</v>
      </c>
      <c r="E39" s="624">
        <f t="shared" ca="1" si="8"/>
        <v>0</v>
      </c>
      <c r="F39" s="624">
        <f t="shared" ca="1" si="8"/>
        <v>0</v>
      </c>
      <c r="G39" s="624">
        <f t="shared" ca="1" si="8"/>
        <v>0</v>
      </c>
      <c r="H39" s="624">
        <f t="shared" ca="1" si="8"/>
        <v>0</v>
      </c>
      <c r="I39" s="624">
        <f t="shared" ca="1" si="8"/>
        <v>0</v>
      </c>
      <c r="J39" s="624">
        <f t="shared" ca="1" si="8"/>
        <v>0</v>
      </c>
      <c r="K39" s="624">
        <f t="shared" ca="1" si="8"/>
        <v>0</v>
      </c>
      <c r="L39" s="624">
        <f t="shared" ca="1" si="8"/>
        <v>0</v>
      </c>
      <c r="M39" s="624">
        <f t="shared" ca="1" si="8"/>
        <v>0</v>
      </c>
      <c r="N39" s="624">
        <f t="shared" ca="1" si="8"/>
        <v>0</v>
      </c>
      <c r="O39" s="624">
        <f t="shared" ca="1" si="8"/>
        <v>0</v>
      </c>
      <c r="P39" s="624">
        <f t="shared" ca="1" si="8"/>
        <v>0</v>
      </c>
      <c r="Q39" s="624">
        <f t="shared" ca="1" si="8"/>
        <v>0</v>
      </c>
      <c r="R39" s="624">
        <f t="shared" ca="1" si="8"/>
        <v>0</v>
      </c>
      <c r="S39" s="624">
        <f t="shared" ca="1" si="8"/>
        <v>0</v>
      </c>
      <c r="T39" s="624">
        <f t="shared" ca="1" si="4"/>
        <v>0</v>
      </c>
    </row>
    <row r="40" spans="1:20">
      <c r="A40" s="366">
        <v>73</v>
      </c>
      <c r="B40" s="376">
        <f t="shared" si="6"/>
        <v>29</v>
      </c>
      <c r="C40" s="620" t="str">
        <f t="shared" ca="1" si="5"/>
        <v/>
      </c>
      <c r="D40" s="625">
        <f t="shared" ca="1" si="8"/>
        <v>0</v>
      </c>
      <c r="E40" s="625">
        <f t="shared" ca="1" si="8"/>
        <v>0</v>
      </c>
      <c r="F40" s="625">
        <f t="shared" ca="1" si="8"/>
        <v>0</v>
      </c>
      <c r="G40" s="625">
        <f t="shared" ca="1" si="8"/>
        <v>0</v>
      </c>
      <c r="H40" s="625">
        <f t="shared" ca="1" si="8"/>
        <v>0</v>
      </c>
      <c r="I40" s="625">
        <f t="shared" ca="1" si="8"/>
        <v>0</v>
      </c>
      <c r="J40" s="625">
        <f t="shared" ca="1" si="8"/>
        <v>0</v>
      </c>
      <c r="K40" s="625">
        <f t="shared" ca="1" si="8"/>
        <v>0</v>
      </c>
      <c r="L40" s="625">
        <f t="shared" ca="1" si="8"/>
        <v>0</v>
      </c>
      <c r="M40" s="625">
        <f t="shared" ca="1" si="8"/>
        <v>0</v>
      </c>
      <c r="N40" s="625">
        <f t="shared" ca="1" si="8"/>
        <v>0</v>
      </c>
      <c r="O40" s="625">
        <f t="shared" ca="1" si="8"/>
        <v>0</v>
      </c>
      <c r="P40" s="625">
        <f t="shared" ca="1" si="8"/>
        <v>0</v>
      </c>
      <c r="Q40" s="625">
        <f t="shared" ca="1" si="8"/>
        <v>0</v>
      </c>
      <c r="R40" s="625">
        <f t="shared" ca="1" si="8"/>
        <v>0</v>
      </c>
      <c r="S40" s="625">
        <f t="shared" ca="1" si="8"/>
        <v>0</v>
      </c>
      <c r="T40" s="625">
        <f t="shared" ca="1" si="4"/>
        <v>0</v>
      </c>
    </row>
    <row r="41" spans="1:20">
      <c r="A41" s="366">
        <v>74</v>
      </c>
      <c r="B41" s="380">
        <f t="shared" si="6"/>
        <v>30</v>
      </c>
      <c r="C41" s="381" t="str">
        <f t="shared" ca="1" si="5"/>
        <v/>
      </c>
      <c r="D41" s="626">
        <f t="shared" ca="1" si="8"/>
        <v>0</v>
      </c>
      <c r="E41" s="626">
        <f t="shared" ca="1" si="8"/>
        <v>0</v>
      </c>
      <c r="F41" s="626">
        <f t="shared" ca="1" si="8"/>
        <v>0</v>
      </c>
      <c r="G41" s="626">
        <f t="shared" ca="1" si="8"/>
        <v>0</v>
      </c>
      <c r="H41" s="626">
        <f t="shared" ca="1" si="8"/>
        <v>0</v>
      </c>
      <c r="I41" s="626">
        <f t="shared" ca="1" si="8"/>
        <v>0</v>
      </c>
      <c r="J41" s="626">
        <f t="shared" ca="1" si="8"/>
        <v>0</v>
      </c>
      <c r="K41" s="626">
        <f t="shared" ca="1" si="8"/>
        <v>0</v>
      </c>
      <c r="L41" s="626">
        <f t="shared" ca="1" si="8"/>
        <v>0</v>
      </c>
      <c r="M41" s="626">
        <f t="shared" ca="1" si="8"/>
        <v>0</v>
      </c>
      <c r="N41" s="626">
        <f t="shared" ca="1" si="8"/>
        <v>0</v>
      </c>
      <c r="O41" s="626">
        <f t="shared" ca="1" si="8"/>
        <v>0</v>
      </c>
      <c r="P41" s="626">
        <f t="shared" ca="1" si="8"/>
        <v>0</v>
      </c>
      <c r="Q41" s="626">
        <f t="shared" ca="1" si="8"/>
        <v>0</v>
      </c>
      <c r="R41" s="626">
        <f t="shared" ca="1" si="8"/>
        <v>0</v>
      </c>
      <c r="S41" s="626">
        <f t="shared" ca="1" si="8"/>
        <v>0</v>
      </c>
      <c r="T41" s="626">
        <f t="shared" ca="1" si="4"/>
        <v>0</v>
      </c>
    </row>
    <row r="42" spans="1:20">
      <c r="A42" s="366">
        <v>75</v>
      </c>
      <c r="B42" s="382">
        <f t="shared" si="6"/>
        <v>31</v>
      </c>
      <c r="C42" s="383" t="str">
        <f t="shared" ca="1" si="5"/>
        <v/>
      </c>
      <c r="D42" s="627">
        <f t="shared" ref="D42:S51" ca="1" si="9">INDIRECT(D$1&amp;"!"&amp;VLOOKUP($C$3,mdr,2,0)&amp;$A42)</f>
        <v>0</v>
      </c>
      <c r="E42" s="627">
        <f t="shared" ca="1" si="9"/>
        <v>0</v>
      </c>
      <c r="F42" s="627">
        <f t="shared" ca="1" si="9"/>
        <v>0</v>
      </c>
      <c r="G42" s="627">
        <f t="shared" ca="1" si="9"/>
        <v>0</v>
      </c>
      <c r="H42" s="627">
        <f t="shared" ca="1" si="9"/>
        <v>0</v>
      </c>
      <c r="I42" s="627">
        <f t="shared" ca="1" si="9"/>
        <v>0</v>
      </c>
      <c r="J42" s="627">
        <f t="shared" ca="1" si="9"/>
        <v>0</v>
      </c>
      <c r="K42" s="627">
        <f t="shared" ca="1" si="9"/>
        <v>0</v>
      </c>
      <c r="L42" s="627">
        <f t="shared" ca="1" si="9"/>
        <v>0</v>
      </c>
      <c r="M42" s="627">
        <f t="shared" ca="1" si="9"/>
        <v>0</v>
      </c>
      <c r="N42" s="627">
        <f t="shared" ca="1" si="9"/>
        <v>0</v>
      </c>
      <c r="O42" s="627">
        <f t="shared" ca="1" si="9"/>
        <v>0</v>
      </c>
      <c r="P42" s="627">
        <f t="shared" ca="1" si="9"/>
        <v>0</v>
      </c>
      <c r="Q42" s="627">
        <f t="shared" ca="1" si="9"/>
        <v>0</v>
      </c>
      <c r="R42" s="627">
        <f t="shared" ca="1" si="9"/>
        <v>0</v>
      </c>
      <c r="S42" s="627">
        <f t="shared" ca="1" si="9"/>
        <v>0</v>
      </c>
      <c r="T42" s="627">
        <f t="shared" ca="1" si="4"/>
        <v>0</v>
      </c>
    </row>
    <row r="43" spans="1:20">
      <c r="A43" s="366">
        <v>76</v>
      </c>
      <c r="B43" s="380">
        <f t="shared" si="6"/>
        <v>32</v>
      </c>
      <c r="C43" s="381" t="str">
        <f t="shared" ca="1" si="5"/>
        <v/>
      </c>
      <c r="D43" s="626">
        <f t="shared" ca="1" si="9"/>
        <v>0</v>
      </c>
      <c r="E43" s="626">
        <f t="shared" ca="1" si="9"/>
        <v>0</v>
      </c>
      <c r="F43" s="626">
        <f t="shared" ca="1" si="9"/>
        <v>0</v>
      </c>
      <c r="G43" s="626">
        <f t="shared" ca="1" si="9"/>
        <v>0</v>
      </c>
      <c r="H43" s="626">
        <f t="shared" ca="1" si="9"/>
        <v>0</v>
      </c>
      <c r="I43" s="626">
        <f t="shared" ca="1" si="9"/>
        <v>0</v>
      </c>
      <c r="J43" s="626">
        <f t="shared" ca="1" si="9"/>
        <v>0</v>
      </c>
      <c r="K43" s="626">
        <f t="shared" ca="1" si="9"/>
        <v>0</v>
      </c>
      <c r="L43" s="626">
        <f t="shared" ca="1" si="9"/>
        <v>0</v>
      </c>
      <c r="M43" s="626">
        <f t="shared" ca="1" si="9"/>
        <v>0</v>
      </c>
      <c r="N43" s="626">
        <f t="shared" ca="1" si="9"/>
        <v>0</v>
      </c>
      <c r="O43" s="626">
        <f t="shared" ca="1" si="9"/>
        <v>0</v>
      </c>
      <c r="P43" s="626">
        <f t="shared" ca="1" si="9"/>
        <v>0</v>
      </c>
      <c r="Q43" s="626">
        <f t="shared" ca="1" si="9"/>
        <v>0</v>
      </c>
      <c r="R43" s="626">
        <f t="shared" ca="1" si="9"/>
        <v>0</v>
      </c>
      <c r="S43" s="626">
        <f t="shared" ca="1" si="9"/>
        <v>0</v>
      </c>
      <c r="T43" s="626">
        <f t="shared" ca="1" si="4"/>
        <v>0</v>
      </c>
    </row>
    <row r="44" spans="1:20">
      <c r="A44" s="366">
        <v>77</v>
      </c>
      <c r="B44" s="382">
        <f t="shared" si="6"/>
        <v>33</v>
      </c>
      <c r="C44" s="383" t="str">
        <f t="shared" ca="1" si="5"/>
        <v/>
      </c>
      <c r="D44" s="627">
        <f t="shared" ca="1" si="9"/>
        <v>0</v>
      </c>
      <c r="E44" s="627">
        <f t="shared" ca="1" si="9"/>
        <v>0</v>
      </c>
      <c r="F44" s="627">
        <f t="shared" ca="1" si="9"/>
        <v>0</v>
      </c>
      <c r="G44" s="627">
        <f t="shared" ca="1" si="9"/>
        <v>0</v>
      </c>
      <c r="H44" s="627">
        <f t="shared" ca="1" si="9"/>
        <v>0</v>
      </c>
      <c r="I44" s="627">
        <f t="shared" ca="1" si="9"/>
        <v>0</v>
      </c>
      <c r="J44" s="627">
        <f t="shared" ca="1" si="9"/>
        <v>0</v>
      </c>
      <c r="K44" s="627">
        <f t="shared" ca="1" si="9"/>
        <v>0</v>
      </c>
      <c r="L44" s="627">
        <f t="shared" ca="1" si="9"/>
        <v>0</v>
      </c>
      <c r="M44" s="627">
        <f t="shared" ca="1" si="9"/>
        <v>0</v>
      </c>
      <c r="N44" s="627">
        <f t="shared" ca="1" si="9"/>
        <v>0</v>
      </c>
      <c r="O44" s="627">
        <f t="shared" ca="1" si="9"/>
        <v>0</v>
      </c>
      <c r="P44" s="627">
        <f t="shared" ca="1" si="9"/>
        <v>0</v>
      </c>
      <c r="Q44" s="627">
        <f t="shared" ca="1" si="9"/>
        <v>0</v>
      </c>
      <c r="R44" s="627">
        <f t="shared" ca="1" si="9"/>
        <v>0</v>
      </c>
      <c r="S44" s="627">
        <f t="shared" ca="1" si="9"/>
        <v>0</v>
      </c>
      <c r="T44" s="627">
        <f t="shared" ref="T44:T71" ca="1" si="10">SUM(D44:S44)</f>
        <v>0</v>
      </c>
    </row>
    <row r="45" spans="1:20">
      <c r="A45" s="366">
        <v>78</v>
      </c>
      <c r="B45" s="380">
        <f t="shared" si="6"/>
        <v>34</v>
      </c>
      <c r="C45" s="381" t="str">
        <f t="shared" ca="1" si="5"/>
        <v/>
      </c>
      <c r="D45" s="626">
        <f t="shared" ca="1" si="9"/>
        <v>0</v>
      </c>
      <c r="E45" s="626">
        <f t="shared" ca="1" si="9"/>
        <v>0</v>
      </c>
      <c r="F45" s="626">
        <f t="shared" ca="1" si="9"/>
        <v>0</v>
      </c>
      <c r="G45" s="626">
        <f t="shared" ca="1" si="9"/>
        <v>0</v>
      </c>
      <c r="H45" s="626">
        <f t="shared" ca="1" si="9"/>
        <v>0</v>
      </c>
      <c r="I45" s="626">
        <f t="shared" ca="1" si="9"/>
        <v>0</v>
      </c>
      <c r="J45" s="626">
        <f t="shared" ca="1" si="9"/>
        <v>0</v>
      </c>
      <c r="K45" s="626">
        <f t="shared" ca="1" si="9"/>
        <v>0</v>
      </c>
      <c r="L45" s="626">
        <f t="shared" ca="1" si="9"/>
        <v>0</v>
      </c>
      <c r="M45" s="626">
        <f t="shared" ca="1" si="9"/>
        <v>0</v>
      </c>
      <c r="N45" s="626">
        <f t="shared" ca="1" si="9"/>
        <v>0</v>
      </c>
      <c r="O45" s="626">
        <f t="shared" ca="1" si="9"/>
        <v>0</v>
      </c>
      <c r="P45" s="626">
        <f t="shared" ca="1" si="9"/>
        <v>0</v>
      </c>
      <c r="Q45" s="626">
        <f t="shared" ca="1" si="9"/>
        <v>0</v>
      </c>
      <c r="R45" s="626">
        <f t="shared" ca="1" si="9"/>
        <v>0</v>
      </c>
      <c r="S45" s="626">
        <f t="shared" ca="1" si="9"/>
        <v>0</v>
      </c>
      <c r="T45" s="626">
        <f t="shared" ca="1" si="10"/>
        <v>0</v>
      </c>
    </row>
    <row r="46" spans="1:20">
      <c r="A46" s="366">
        <v>79</v>
      </c>
      <c r="B46" s="382">
        <f t="shared" si="6"/>
        <v>35</v>
      </c>
      <c r="C46" s="383" t="str">
        <f t="shared" ca="1" si="5"/>
        <v/>
      </c>
      <c r="D46" s="627">
        <f t="shared" ca="1" si="9"/>
        <v>0</v>
      </c>
      <c r="E46" s="627">
        <f t="shared" ca="1" si="9"/>
        <v>0</v>
      </c>
      <c r="F46" s="627">
        <f t="shared" ca="1" si="9"/>
        <v>0</v>
      </c>
      <c r="G46" s="627">
        <f t="shared" ca="1" si="9"/>
        <v>0</v>
      </c>
      <c r="H46" s="627">
        <f t="shared" ca="1" si="9"/>
        <v>0</v>
      </c>
      <c r="I46" s="627">
        <f t="shared" ca="1" si="9"/>
        <v>0</v>
      </c>
      <c r="J46" s="627">
        <f t="shared" ca="1" si="9"/>
        <v>0</v>
      </c>
      <c r="K46" s="627">
        <f t="shared" ca="1" si="9"/>
        <v>0</v>
      </c>
      <c r="L46" s="627">
        <f t="shared" ca="1" si="9"/>
        <v>0</v>
      </c>
      <c r="M46" s="627">
        <f t="shared" ca="1" si="9"/>
        <v>0</v>
      </c>
      <c r="N46" s="627">
        <f t="shared" ca="1" si="9"/>
        <v>0</v>
      </c>
      <c r="O46" s="627">
        <f t="shared" ca="1" si="9"/>
        <v>0</v>
      </c>
      <c r="P46" s="627">
        <f t="shared" ca="1" si="9"/>
        <v>0</v>
      </c>
      <c r="Q46" s="627">
        <f t="shared" ca="1" si="9"/>
        <v>0</v>
      </c>
      <c r="R46" s="627">
        <f t="shared" ca="1" si="9"/>
        <v>0</v>
      </c>
      <c r="S46" s="627">
        <f t="shared" ca="1" si="9"/>
        <v>0</v>
      </c>
      <c r="T46" s="627">
        <f t="shared" ca="1" si="10"/>
        <v>0</v>
      </c>
    </row>
    <row r="47" spans="1:20">
      <c r="A47" s="366">
        <v>80</v>
      </c>
      <c r="B47" s="380">
        <f t="shared" si="6"/>
        <v>36</v>
      </c>
      <c r="C47" s="381" t="str">
        <f t="shared" ca="1" si="5"/>
        <v/>
      </c>
      <c r="D47" s="626">
        <f t="shared" ca="1" si="9"/>
        <v>0</v>
      </c>
      <c r="E47" s="626">
        <f t="shared" ca="1" si="9"/>
        <v>0</v>
      </c>
      <c r="F47" s="626">
        <f t="shared" ca="1" si="9"/>
        <v>0</v>
      </c>
      <c r="G47" s="626">
        <f t="shared" ca="1" si="9"/>
        <v>0</v>
      </c>
      <c r="H47" s="626">
        <f t="shared" ca="1" si="9"/>
        <v>0</v>
      </c>
      <c r="I47" s="626">
        <f t="shared" ca="1" si="9"/>
        <v>0</v>
      </c>
      <c r="J47" s="626">
        <f t="shared" ca="1" si="9"/>
        <v>0</v>
      </c>
      <c r="K47" s="626">
        <f t="shared" ca="1" si="9"/>
        <v>0</v>
      </c>
      <c r="L47" s="626">
        <f t="shared" ca="1" si="9"/>
        <v>0</v>
      </c>
      <c r="M47" s="626">
        <f t="shared" ca="1" si="9"/>
        <v>0</v>
      </c>
      <c r="N47" s="626">
        <f t="shared" ca="1" si="9"/>
        <v>0</v>
      </c>
      <c r="O47" s="626">
        <f t="shared" ca="1" si="9"/>
        <v>0</v>
      </c>
      <c r="P47" s="626">
        <f t="shared" ca="1" si="9"/>
        <v>0</v>
      </c>
      <c r="Q47" s="626">
        <f t="shared" ca="1" si="9"/>
        <v>0</v>
      </c>
      <c r="R47" s="626">
        <f t="shared" ca="1" si="9"/>
        <v>0</v>
      </c>
      <c r="S47" s="626">
        <f t="shared" ca="1" si="9"/>
        <v>0</v>
      </c>
      <c r="T47" s="626">
        <f t="shared" ca="1" si="10"/>
        <v>0</v>
      </c>
    </row>
    <row r="48" spans="1:20">
      <c r="A48" s="366">
        <v>81</v>
      </c>
      <c r="B48" s="382">
        <f t="shared" si="6"/>
        <v>37</v>
      </c>
      <c r="C48" s="383" t="str">
        <f t="shared" ca="1" si="5"/>
        <v/>
      </c>
      <c r="D48" s="627">
        <f t="shared" ca="1" si="9"/>
        <v>0</v>
      </c>
      <c r="E48" s="627">
        <f t="shared" ca="1" si="9"/>
        <v>0</v>
      </c>
      <c r="F48" s="627">
        <f t="shared" ca="1" si="9"/>
        <v>0</v>
      </c>
      <c r="G48" s="627">
        <f t="shared" ca="1" si="9"/>
        <v>0</v>
      </c>
      <c r="H48" s="627">
        <f t="shared" ca="1" si="9"/>
        <v>0</v>
      </c>
      <c r="I48" s="627">
        <f t="shared" ca="1" si="9"/>
        <v>0</v>
      </c>
      <c r="J48" s="627">
        <f t="shared" ca="1" si="9"/>
        <v>0</v>
      </c>
      <c r="K48" s="627">
        <f t="shared" ca="1" si="9"/>
        <v>0</v>
      </c>
      <c r="L48" s="627">
        <f t="shared" ca="1" si="9"/>
        <v>0</v>
      </c>
      <c r="M48" s="627">
        <f t="shared" ca="1" si="9"/>
        <v>0</v>
      </c>
      <c r="N48" s="627">
        <f t="shared" ca="1" si="9"/>
        <v>0</v>
      </c>
      <c r="O48" s="627">
        <f t="shared" ca="1" si="9"/>
        <v>0</v>
      </c>
      <c r="P48" s="627">
        <f t="shared" ca="1" si="9"/>
        <v>0</v>
      </c>
      <c r="Q48" s="627">
        <f t="shared" ca="1" si="9"/>
        <v>0</v>
      </c>
      <c r="R48" s="627">
        <f t="shared" ca="1" si="9"/>
        <v>0</v>
      </c>
      <c r="S48" s="627">
        <f t="shared" ca="1" si="9"/>
        <v>0</v>
      </c>
      <c r="T48" s="627">
        <f t="shared" ca="1" si="10"/>
        <v>0</v>
      </c>
    </row>
    <row r="49" spans="1:20">
      <c r="A49" s="366">
        <v>82</v>
      </c>
      <c r="B49" s="380">
        <f t="shared" si="6"/>
        <v>38</v>
      </c>
      <c r="C49" s="381" t="str">
        <f t="shared" ca="1" si="5"/>
        <v/>
      </c>
      <c r="D49" s="626">
        <f t="shared" ca="1" si="9"/>
        <v>0</v>
      </c>
      <c r="E49" s="626">
        <f t="shared" ca="1" si="9"/>
        <v>0</v>
      </c>
      <c r="F49" s="626">
        <f t="shared" ca="1" si="9"/>
        <v>0</v>
      </c>
      <c r="G49" s="626">
        <f t="shared" ca="1" si="9"/>
        <v>0</v>
      </c>
      <c r="H49" s="626">
        <f t="shared" ca="1" si="9"/>
        <v>0</v>
      </c>
      <c r="I49" s="626">
        <f t="shared" ca="1" si="9"/>
        <v>0</v>
      </c>
      <c r="J49" s="626">
        <f t="shared" ca="1" si="9"/>
        <v>0</v>
      </c>
      <c r="K49" s="626">
        <f t="shared" ca="1" si="9"/>
        <v>0</v>
      </c>
      <c r="L49" s="626">
        <f t="shared" ca="1" si="9"/>
        <v>0</v>
      </c>
      <c r="M49" s="626">
        <f t="shared" ca="1" si="9"/>
        <v>0</v>
      </c>
      <c r="N49" s="626">
        <f t="shared" ca="1" si="9"/>
        <v>0</v>
      </c>
      <c r="O49" s="626">
        <f t="shared" ca="1" si="9"/>
        <v>0</v>
      </c>
      <c r="P49" s="626">
        <f t="shared" ca="1" si="9"/>
        <v>0</v>
      </c>
      <c r="Q49" s="626">
        <f t="shared" ca="1" si="9"/>
        <v>0</v>
      </c>
      <c r="R49" s="626">
        <f t="shared" ca="1" si="9"/>
        <v>0</v>
      </c>
      <c r="S49" s="626">
        <f t="shared" ca="1" si="9"/>
        <v>0</v>
      </c>
      <c r="T49" s="626">
        <f t="shared" ca="1" si="10"/>
        <v>0</v>
      </c>
    </row>
    <row r="50" spans="1:20">
      <c r="A50" s="366">
        <v>83</v>
      </c>
      <c r="B50" s="382">
        <f t="shared" si="6"/>
        <v>39</v>
      </c>
      <c r="C50" s="383" t="str">
        <f t="shared" ca="1" si="5"/>
        <v/>
      </c>
      <c r="D50" s="627">
        <f t="shared" ca="1" si="9"/>
        <v>0</v>
      </c>
      <c r="E50" s="627">
        <f t="shared" ca="1" si="9"/>
        <v>0</v>
      </c>
      <c r="F50" s="627">
        <f t="shared" ca="1" si="9"/>
        <v>0</v>
      </c>
      <c r="G50" s="627">
        <f t="shared" ca="1" si="9"/>
        <v>0</v>
      </c>
      <c r="H50" s="627">
        <f t="shared" ca="1" si="9"/>
        <v>0</v>
      </c>
      <c r="I50" s="627">
        <f t="shared" ca="1" si="9"/>
        <v>0</v>
      </c>
      <c r="J50" s="627">
        <f t="shared" ca="1" si="9"/>
        <v>0</v>
      </c>
      <c r="K50" s="627">
        <f t="shared" ca="1" si="9"/>
        <v>0</v>
      </c>
      <c r="L50" s="627">
        <f t="shared" ca="1" si="9"/>
        <v>0</v>
      </c>
      <c r="M50" s="627">
        <f t="shared" ca="1" si="9"/>
        <v>0</v>
      </c>
      <c r="N50" s="627">
        <f t="shared" ca="1" si="9"/>
        <v>0</v>
      </c>
      <c r="O50" s="627">
        <f t="shared" ca="1" si="9"/>
        <v>0</v>
      </c>
      <c r="P50" s="627">
        <f t="shared" ca="1" si="9"/>
        <v>0</v>
      </c>
      <c r="Q50" s="627">
        <f t="shared" ca="1" si="9"/>
        <v>0</v>
      </c>
      <c r="R50" s="627">
        <f t="shared" ca="1" si="9"/>
        <v>0</v>
      </c>
      <c r="S50" s="627">
        <f t="shared" ca="1" si="9"/>
        <v>0</v>
      </c>
      <c r="T50" s="627">
        <f t="shared" ca="1" si="10"/>
        <v>0</v>
      </c>
    </row>
    <row r="51" spans="1:20">
      <c r="A51" s="366">
        <v>84</v>
      </c>
      <c r="B51" s="380">
        <f t="shared" si="6"/>
        <v>40</v>
      </c>
      <c r="C51" s="381" t="str">
        <f t="shared" ca="1" si="5"/>
        <v/>
      </c>
      <c r="D51" s="626">
        <f t="shared" ca="1" si="9"/>
        <v>0</v>
      </c>
      <c r="E51" s="626">
        <f t="shared" ca="1" si="9"/>
        <v>0</v>
      </c>
      <c r="F51" s="626">
        <f t="shared" ca="1" si="9"/>
        <v>0</v>
      </c>
      <c r="G51" s="626">
        <f t="shared" ca="1" si="9"/>
        <v>0</v>
      </c>
      <c r="H51" s="626">
        <f t="shared" ca="1" si="9"/>
        <v>0</v>
      </c>
      <c r="I51" s="626">
        <f t="shared" ca="1" si="9"/>
        <v>0</v>
      </c>
      <c r="J51" s="626">
        <f t="shared" ca="1" si="9"/>
        <v>0</v>
      </c>
      <c r="K51" s="626">
        <f t="shared" ca="1" si="9"/>
        <v>0</v>
      </c>
      <c r="L51" s="626">
        <f t="shared" ca="1" si="9"/>
        <v>0</v>
      </c>
      <c r="M51" s="626">
        <f t="shared" ca="1" si="9"/>
        <v>0</v>
      </c>
      <c r="N51" s="626">
        <f t="shared" ca="1" si="9"/>
        <v>0</v>
      </c>
      <c r="O51" s="626">
        <f t="shared" ca="1" si="9"/>
        <v>0</v>
      </c>
      <c r="P51" s="626">
        <f t="shared" ca="1" si="9"/>
        <v>0</v>
      </c>
      <c r="Q51" s="626">
        <f t="shared" ca="1" si="9"/>
        <v>0</v>
      </c>
      <c r="R51" s="626">
        <f t="shared" ca="1" si="9"/>
        <v>0</v>
      </c>
      <c r="S51" s="626">
        <f t="shared" ca="1" si="9"/>
        <v>0</v>
      </c>
      <c r="T51" s="626">
        <f t="shared" ca="1" si="10"/>
        <v>0</v>
      </c>
    </row>
    <row r="52" spans="1:20">
      <c r="A52" s="366">
        <v>85</v>
      </c>
      <c r="B52" s="382">
        <f t="shared" si="6"/>
        <v>41</v>
      </c>
      <c r="C52" s="383" t="str">
        <f t="shared" ca="1" si="5"/>
        <v/>
      </c>
      <c r="D52" s="627">
        <f t="shared" ref="D52:S61" ca="1" si="11">INDIRECT(D$1&amp;"!"&amp;VLOOKUP($C$3,mdr,2,0)&amp;$A52)</f>
        <v>0</v>
      </c>
      <c r="E52" s="627">
        <f t="shared" ca="1" si="11"/>
        <v>0</v>
      </c>
      <c r="F52" s="627">
        <f t="shared" ca="1" si="11"/>
        <v>0</v>
      </c>
      <c r="G52" s="627">
        <f t="shared" ca="1" si="11"/>
        <v>0</v>
      </c>
      <c r="H52" s="627">
        <f t="shared" ca="1" si="11"/>
        <v>0</v>
      </c>
      <c r="I52" s="627">
        <f t="shared" ca="1" si="11"/>
        <v>0</v>
      </c>
      <c r="J52" s="627">
        <f t="shared" ca="1" si="11"/>
        <v>0</v>
      </c>
      <c r="K52" s="627">
        <f t="shared" ca="1" si="11"/>
        <v>0</v>
      </c>
      <c r="L52" s="627">
        <f t="shared" ca="1" si="11"/>
        <v>0</v>
      </c>
      <c r="M52" s="627">
        <f t="shared" ca="1" si="11"/>
        <v>0</v>
      </c>
      <c r="N52" s="627">
        <f t="shared" ca="1" si="11"/>
        <v>0</v>
      </c>
      <c r="O52" s="627">
        <f t="shared" ca="1" si="11"/>
        <v>0</v>
      </c>
      <c r="P52" s="627">
        <f t="shared" ca="1" si="11"/>
        <v>0</v>
      </c>
      <c r="Q52" s="627">
        <f t="shared" ca="1" si="11"/>
        <v>0</v>
      </c>
      <c r="R52" s="627">
        <f t="shared" ca="1" si="11"/>
        <v>0</v>
      </c>
      <c r="S52" s="627">
        <f t="shared" ca="1" si="11"/>
        <v>0</v>
      </c>
      <c r="T52" s="627">
        <f t="shared" ca="1" si="10"/>
        <v>0</v>
      </c>
    </row>
    <row r="53" spans="1:20">
      <c r="A53" s="366">
        <v>86</v>
      </c>
      <c r="B53" s="380">
        <f t="shared" si="6"/>
        <v>42</v>
      </c>
      <c r="C53" s="381" t="str">
        <f t="shared" ca="1" si="5"/>
        <v/>
      </c>
      <c r="D53" s="626">
        <f t="shared" ca="1" si="11"/>
        <v>0</v>
      </c>
      <c r="E53" s="626">
        <f t="shared" ca="1" si="11"/>
        <v>0</v>
      </c>
      <c r="F53" s="626">
        <f t="shared" ca="1" si="11"/>
        <v>0</v>
      </c>
      <c r="G53" s="626">
        <f t="shared" ca="1" si="11"/>
        <v>0</v>
      </c>
      <c r="H53" s="626">
        <f t="shared" ca="1" si="11"/>
        <v>0</v>
      </c>
      <c r="I53" s="626">
        <f t="shared" ca="1" si="11"/>
        <v>0</v>
      </c>
      <c r="J53" s="626">
        <f t="shared" ca="1" si="11"/>
        <v>0</v>
      </c>
      <c r="K53" s="626">
        <f t="shared" ca="1" si="11"/>
        <v>0</v>
      </c>
      <c r="L53" s="626">
        <f t="shared" ca="1" si="11"/>
        <v>0</v>
      </c>
      <c r="M53" s="626">
        <f t="shared" ca="1" si="11"/>
        <v>0</v>
      </c>
      <c r="N53" s="626">
        <f t="shared" ca="1" si="11"/>
        <v>0</v>
      </c>
      <c r="O53" s="626">
        <f t="shared" ca="1" si="11"/>
        <v>0</v>
      </c>
      <c r="P53" s="626">
        <f t="shared" ca="1" si="11"/>
        <v>0</v>
      </c>
      <c r="Q53" s="626">
        <f t="shared" ca="1" si="11"/>
        <v>0</v>
      </c>
      <c r="R53" s="626">
        <f t="shared" ca="1" si="11"/>
        <v>0</v>
      </c>
      <c r="S53" s="626">
        <f t="shared" ca="1" si="11"/>
        <v>0</v>
      </c>
      <c r="T53" s="626">
        <f t="shared" ca="1" si="10"/>
        <v>0</v>
      </c>
    </row>
    <row r="54" spans="1:20">
      <c r="A54" s="366">
        <v>87</v>
      </c>
      <c r="B54" s="382">
        <f t="shared" si="6"/>
        <v>43</v>
      </c>
      <c r="C54" s="383" t="str">
        <f t="shared" ca="1" si="5"/>
        <v/>
      </c>
      <c r="D54" s="627">
        <f t="shared" ca="1" si="11"/>
        <v>0</v>
      </c>
      <c r="E54" s="627">
        <f t="shared" ca="1" si="11"/>
        <v>0</v>
      </c>
      <c r="F54" s="627">
        <f t="shared" ca="1" si="11"/>
        <v>0</v>
      </c>
      <c r="G54" s="627">
        <f t="shared" ca="1" si="11"/>
        <v>0</v>
      </c>
      <c r="H54" s="627">
        <f t="shared" ca="1" si="11"/>
        <v>0</v>
      </c>
      <c r="I54" s="627">
        <f t="shared" ca="1" si="11"/>
        <v>0</v>
      </c>
      <c r="J54" s="627">
        <f t="shared" ca="1" si="11"/>
        <v>0</v>
      </c>
      <c r="K54" s="627">
        <f t="shared" ca="1" si="11"/>
        <v>0</v>
      </c>
      <c r="L54" s="627">
        <f t="shared" ca="1" si="11"/>
        <v>0</v>
      </c>
      <c r="M54" s="627">
        <f t="shared" ca="1" si="11"/>
        <v>0</v>
      </c>
      <c r="N54" s="627">
        <f t="shared" ca="1" si="11"/>
        <v>0</v>
      </c>
      <c r="O54" s="627">
        <f t="shared" ca="1" si="11"/>
        <v>0</v>
      </c>
      <c r="P54" s="627">
        <f t="shared" ca="1" si="11"/>
        <v>0</v>
      </c>
      <c r="Q54" s="627">
        <f t="shared" ca="1" si="11"/>
        <v>0</v>
      </c>
      <c r="R54" s="627">
        <f t="shared" ca="1" si="11"/>
        <v>0</v>
      </c>
      <c r="S54" s="627">
        <f t="shared" ca="1" si="11"/>
        <v>0</v>
      </c>
      <c r="T54" s="627">
        <f t="shared" ca="1" si="10"/>
        <v>0</v>
      </c>
    </row>
    <row r="55" spans="1:20">
      <c r="A55" s="366">
        <v>88</v>
      </c>
      <c r="B55" s="380">
        <f t="shared" si="6"/>
        <v>44</v>
      </c>
      <c r="C55" s="381" t="str">
        <f t="shared" ca="1" si="5"/>
        <v/>
      </c>
      <c r="D55" s="626">
        <f t="shared" ca="1" si="11"/>
        <v>0</v>
      </c>
      <c r="E55" s="626">
        <f t="shared" ca="1" si="11"/>
        <v>0</v>
      </c>
      <c r="F55" s="626">
        <f t="shared" ca="1" si="11"/>
        <v>0</v>
      </c>
      <c r="G55" s="626">
        <f t="shared" ca="1" si="11"/>
        <v>0</v>
      </c>
      <c r="H55" s="626">
        <f t="shared" ca="1" si="11"/>
        <v>0</v>
      </c>
      <c r="I55" s="626">
        <f t="shared" ca="1" si="11"/>
        <v>0</v>
      </c>
      <c r="J55" s="626">
        <f t="shared" ca="1" si="11"/>
        <v>0</v>
      </c>
      <c r="K55" s="626">
        <f t="shared" ca="1" si="11"/>
        <v>0</v>
      </c>
      <c r="L55" s="626">
        <f t="shared" ca="1" si="11"/>
        <v>0</v>
      </c>
      <c r="M55" s="626">
        <f t="shared" ca="1" si="11"/>
        <v>0</v>
      </c>
      <c r="N55" s="626">
        <f t="shared" ca="1" si="11"/>
        <v>0</v>
      </c>
      <c r="O55" s="626">
        <f t="shared" ca="1" si="11"/>
        <v>0</v>
      </c>
      <c r="P55" s="626">
        <f t="shared" ca="1" si="11"/>
        <v>0</v>
      </c>
      <c r="Q55" s="626">
        <f t="shared" ca="1" si="11"/>
        <v>0</v>
      </c>
      <c r="R55" s="626">
        <f t="shared" ca="1" si="11"/>
        <v>0</v>
      </c>
      <c r="S55" s="626">
        <f t="shared" ca="1" si="11"/>
        <v>0</v>
      </c>
      <c r="T55" s="626">
        <f t="shared" ca="1" si="10"/>
        <v>0</v>
      </c>
    </row>
    <row r="56" spans="1:20">
      <c r="A56" s="366">
        <v>89</v>
      </c>
      <c r="B56" s="384">
        <f t="shared" si="6"/>
        <v>45</v>
      </c>
      <c r="C56" s="621" t="str">
        <f t="shared" ca="1" si="5"/>
        <v/>
      </c>
      <c r="D56" s="628">
        <f t="shared" ca="1" si="11"/>
        <v>0</v>
      </c>
      <c r="E56" s="628">
        <f t="shared" ca="1" si="11"/>
        <v>0</v>
      </c>
      <c r="F56" s="628">
        <f t="shared" ca="1" si="11"/>
        <v>0</v>
      </c>
      <c r="G56" s="628">
        <f t="shared" ca="1" si="11"/>
        <v>0</v>
      </c>
      <c r="H56" s="628">
        <f t="shared" ca="1" si="11"/>
        <v>0</v>
      </c>
      <c r="I56" s="628">
        <f t="shared" ca="1" si="11"/>
        <v>0</v>
      </c>
      <c r="J56" s="628">
        <f t="shared" ca="1" si="11"/>
        <v>0</v>
      </c>
      <c r="K56" s="628">
        <f t="shared" ca="1" si="11"/>
        <v>0</v>
      </c>
      <c r="L56" s="628">
        <f t="shared" ca="1" si="11"/>
        <v>0</v>
      </c>
      <c r="M56" s="628">
        <f t="shared" ca="1" si="11"/>
        <v>0</v>
      </c>
      <c r="N56" s="628">
        <f t="shared" ca="1" si="11"/>
        <v>0</v>
      </c>
      <c r="O56" s="628">
        <f t="shared" ca="1" si="11"/>
        <v>0</v>
      </c>
      <c r="P56" s="628">
        <f t="shared" ca="1" si="11"/>
        <v>0</v>
      </c>
      <c r="Q56" s="628">
        <f t="shared" ca="1" si="11"/>
        <v>0</v>
      </c>
      <c r="R56" s="628">
        <f t="shared" ca="1" si="11"/>
        <v>0</v>
      </c>
      <c r="S56" s="628">
        <f t="shared" ca="1" si="11"/>
        <v>0</v>
      </c>
      <c r="T56" s="628">
        <f t="shared" ca="1" si="10"/>
        <v>0</v>
      </c>
    </row>
    <row r="57" spans="1:20">
      <c r="A57" s="366">
        <v>90</v>
      </c>
      <c r="B57" s="386">
        <f t="shared" si="6"/>
        <v>46</v>
      </c>
      <c r="C57" s="387" t="str">
        <f t="shared" ca="1" si="5"/>
        <v/>
      </c>
      <c r="D57" s="629">
        <f t="shared" ca="1" si="11"/>
        <v>0</v>
      </c>
      <c r="E57" s="629">
        <f t="shared" ca="1" si="11"/>
        <v>0</v>
      </c>
      <c r="F57" s="629">
        <f t="shared" ca="1" si="11"/>
        <v>0</v>
      </c>
      <c r="G57" s="629">
        <f t="shared" ca="1" si="11"/>
        <v>0</v>
      </c>
      <c r="H57" s="629">
        <f t="shared" ca="1" si="11"/>
        <v>0</v>
      </c>
      <c r="I57" s="629">
        <f t="shared" ca="1" si="11"/>
        <v>0</v>
      </c>
      <c r="J57" s="629">
        <f t="shared" ca="1" si="11"/>
        <v>0</v>
      </c>
      <c r="K57" s="629">
        <f t="shared" ca="1" si="11"/>
        <v>0</v>
      </c>
      <c r="L57" s="629">
        <f t="shared" ca="1" si="11"/>
        <v>0</v>
      </c>
      <c r="M57" s="629">
        <f t="shared" ca="1" si="11"/>
        <v>0</v>
      </c>
      <c r="N57" s="629">
        <f t="shared" ca="1" si="11"/>
        <v>0</v>
      </c>
      <c r="O57" s="629">
        <f t="shared" ca="1" si="11"/>
        <v>0</v>
      </c>
      <c r="P57" s="629">
        <f t="shared" ca="1" si="11"/>
        <v>0</v>
      </c>
      <c r="Q57" s="629">
        <f t="shared" ca="1" si="11"/>
        <v>0</v>
      </c>
      <c r="R57" s="629">
        <f t="shared" ca="1" si="11"/>
        <v>0</v>
      </c>
      <c r="S57" s="629">
        <f t="shared" ca="1" si="11"/>
        <v>0</v>
      </c>
      <c r="T57" s="629">
        <f t="shared" ca="1" si="10"/>
        <v>0</v>
      </c>
    </row>
    <row r="58" spans="1:20">
      <c r="A58" s="366">
        <v>91</v>
      </c>
      <c r="B58" s="388">
        <f t="shared" si="6"/>
        <v>47</v>
      </c>
      <c r="C58" s="389" t="str">
        <f t="shared" ca="1" si="5"/>
        <v/>
      </c>
      <c r="D58" s="630">
        <f t="shared" ca="1" si="11"/>
        <v>0</v>
      </c>
      <c r="E58" s="630">
        <f t="shared" ca="1" si="11"/>
        <v>0</v>
      </c>
      <c r="F58" s="630">
        <f t="shared" ca="1" si="11"/>
        <v>0</v>
      </c>
      <c r="G58" s="630">
        <f t="shared" ca="1" si="11"/>
        <v>0</v>
      </c>
      <c r="H58" s="630">
        <f t="shared" ca="1" si="11"/>
        <v>0</v>
      </c>
      <c r="I58" s="630">
        <f t="shared" ca="1" si="11"/>
        <v>0</v>
      </c>
      <c r="J58" s="630">
        <f t="shared" ca="1" si="11"/>
        <v>0</v>
      </c>
      <c r="K58" s="630">
        <f t="shared" ca="1" si="11"/>
        <v>0</v>
      </c>
      <c r="L58" s="630">
        <f t="shared" ca="1" si="11"/>
        <v>0</v>
      </c>
      <c r="M58" s="630">
        <f t="shared" ca="1" si="11"/>
        <v>0</v>
      </c>
      <c r="N58" s="630">
        <f t="shared" ca="1" si="11"/>
        <v>0</v>
      </c>
      <c r="O58" s="630">
        <f t="shared" ca="1" si="11"/>
        <v>0</v>
      </c>
      <c r="P58" s="630">
        <f t="shared" ca="1" si="11"/>
        <v>0</v>
      </c>
      <c r="Q58" s="630">
        <f t="shared" ca="1" si="11"/>
        <v>0</v>
      </c>
      <c r="R58" s="630">
        <f t="shared" ca="1" si="11"/>
        <v>0</v>
      </c>
      <c r="S58" s="630">
        <f t="shared" ca="1" si="11"/>
        <v>0</v>
      </c>
      <c r="T58" s="630">
        <f t="shared" ca="1" si="10"/>
        <v>0</v>
      </c>
    </row>
    <row r="59" spans="1:20">
      <c r="A59" s="366">
        <v>92</v>
      </c>
      <c r="B59" s="386">
        <f t="shared" si="6"/>
        <v>48</v>
      </c>
      <c r="C59" s="387" t="str">
        <f t="shared" ca="1" si="5"/>
        <v/>
      </c>
      <c r="D59" s="629">
        <f t="shared" ca="1" si="11"/>
        <v>0</v>
      </c>
      <c r="E59" s="629">
        <f t="shared" ca="1" si="11"/>
        <v>0</v>
      </c>
      <c r="F59" s="629">
        <f t="shared" ca="1" si="11"/>
        <v>0</v>
      </c>
      <c r="G59" s="629">
        <f t="shared" ca="1" si="11"/>
        <v>0</v>
      </c>
      <c r="H59" s="629">
        <f t="shared" ca="1" si="11"/>
        <v>0</v>
      </c>
      <c r="I59" s="629">
        <f t="shared" ca="1" si="11"/>
        <v>0</v>
      </c>
      <c r="J59" s="629">
        <f t="shared" ca="1" si="11"/>
        <v>0</v>
      </c>
      <c r="K59" s="629">
        <f t="shared" ca="1" si="11"/>
        <v>0</v>
      </c>
      <c r="L59" s="629">
        <f t="shared" ca="1" si="11"/>
        <v>0</v>
      </c>
      <c r="M59" s="629">
        <f t="shared" ca="1" si="11"/>
        <v>0</v>
      </c>
      <c r="N59" s="629">
        <f t="shared" ca="1" si="11"/>
        <v>0</v>
      </c>
      <c r="O59" s="629">
        <f t="shared" ca="1" si="11"/>
        <v>0</v>
      </c>
      <c r="P59" s="629">
        <f t="shared" ca="1" si="11"/>
        <v>0</v>
      </c>
      <c r="Q59" s="629">
        <f t="shared" ca="1" si="11"/>
        <v>0</v>
      </c>
      <c r="R59" s="629">
        <f t="shared" ca="1" si="11"/>
        <v>0</v>
      </c>
      <c r="S59" s="629">
        <f t="shared" ca="1" si="11"/>
        <v>0</v>
      </c>
      <c r="T59" s="629">
        <f t="shared" ca="1" si="10"/>
        <v>0</v>
      </c>
    </row>
    <row r="60" spans="1:20">
      <c r="A60" s="366">
        <v>93</v>
      </c>
      <c r="B60" s="388">
        <f t="shared" si="6"/>
        <v>49</v>
      </c>
      <c r="C60" s="389" t="str">
        <f t="shared" ca="1" si="5"/>
        <v/>
      </c>
      <c r="D60" s="630">
        <f t="shared" ca="1" si="11"/>
        <v>0</v>
      </c>
      <c r="E60" s="630">
        <f t="shared" ca="1" si="11"/>
        <v>0</v>
      </c>
      <c r="F60" s="630">
        <f t="shared" ca="1" si="11"/>
        <v>0</v>
      </c>
      <c r="G60" s="630">
        <f t="shared" ca="1" si="11"/>
        <v>0</v>
      </c>
      <c r="H60" s="630">
        <f t="shared" ca="1" si="11"/>
        <v>0</v>
      </c>
      <c r="I60" s="630">
        <f t="shared" ca="1" si="11"/>
        <v>0</v>
      </c>
      <c r="J60" s="630">
        <f t="shared" ca="1" si="11"/>
        <v>0</v>
      </c>
      <c r="K60" s="630">
        <f t="shared" ca="1" si="11"/>
        <v>0</v>
      </c>
      <c r="L60" s="630">
        <f t="shared" ca="1" si="11"/>
        <v>0</v>
      </c>
      <c r="M60" s="630">
        <f t="shared" ca="1" si="11"/>
        <v>0</v>
      </c>
      <c r="N60" s="630">
        <f t="shared" ca="1" si="11"/>
        <v>0</v>
      </c>
      <c r="O60" s="630">
        <f t="shared" ca="1" si="11"/>
        <v>0</v>
      </c>
      <c r="P60" s="630">
        <f t="shared" ca="1" si="11"/>
        <v>0</v>
      </c>
      <c r="Q60" s="630">
        <f t="shared" ca="1" si="11"/>
        <v>0</v>
      </c>
      <c r="R60" s="630">
        <f t="shared" ca="1" si="11"/>
        <v>0</v>
      </c>
      <c r="S60" s="630">
        <f t="shared" ca="1" si="11"/>
        <v>0</v>
      </c>
      <c r="T60" s="630">
        <f t="shared" ca="1" si="10"/>
        <v>0</v>
      </c>
    </row>
    <row r="61" spans="1:20">
      <c r="A61" s="366">
        <v>94</v>
      </c>
      <c r="B61" s="386">
        <f t="shared" si="6"/>
        <v>50</v>
      </c>
      <c r="C61" s="387" t="str">
        <f t="shared" ca="1" si="5"/>
        <v/>
      </c>
      <c r="D61" s="629">
        <f t="shared" ca="1" si="11"/>
        <v>0</v>
      </c>
      <c r="E61" s="629">
        <f t="shared" ca="1" si="11"/>
        <v>0</v>
      </c>
      <c r="F61" s="629">
        <f t="shared" ca="1" si="11"/>
        <v>0</v>
      </c>
      <c r="G61" s="629">
        <f t="shared" ca="1" si="11"/>
        <v>0</v>
      </c>
      <c r="H61" s="629">
        <f t="shared" ca="1" si="11"/>
        <v>0</v>
      </c>
      <c r="I61" s="629">
        <f t="shared" ca="1" si="11"/>
        <v>0</v>
      </c>
      <c r="J61" s="629">
        <f t="shared" ca="1" si="11"/>
        <v>0</v>
      </c>
      <c r="K61" s="629">
        <f t="shared" ca="1" si="11"/>
        <v>0</v>
      </c>
      <c r="L61" s="629">
        <f t="shared" ca="1" si="11"/>
        <v>0</v>
      </c>
      <c r="M61" s="629">
        <f t="shared" ca="1" si="11"/>
        <v>0</v>
      </c>
      <c r="N61" s="629">
        <f t="shared" ca="1" si="11"/>
        <v>0</v>
      </c>
      <c r="O61" s="629">
        <f t="shared" ca="1" si="11"/>
        <v>0</v>
      </c>
      <c r="P61" s="629">
        <f t="shared" ca="1" si="11"/>
        <v>0</v>
      </c>
      <c r="Q61" s="629">
        <f t="shared" ca="1" si="11"/>
        <v>0</v>
      </c>
      <c r="R61" s="629">
        <f t="shared" ca="1" si="11"/>
        <v>0</v>
      </c>
      <c r="S61" s="629">
        <f t="shared" ca="1" si="11"/>
        <v>0</v>
      </c>
      <c r="T61" s="629"/>
    </row>
    <row r="62" spans="1:20" s="365" customFormat="1">
      <c r="A62" s="521">
        <v>27</v>
      </c>
      <c r="B62" s="388">
        <f t="shared" si="6"/>
        <v>51</v>
      </c>
      <c r="C62" s="390" t="str">
        <f t="shared" ca="1" si="5"/>
        <v/>
      </c>
      <c r="D62" s="635">
        <f t="shared" ref="D62:S72" ca="1" si="12">INDIRECT(D$1&amp;"!"&amp;VLOOKUP($C$3,mdr,2,0)&amp;$A62)</f>
        <v>0</v>
      </c>
      <c r="E62" s="631">
        <f t="shared" ca="1" si="12"/>
        <v>0</v>
      </c>
      <c r="F62" s="631">
        <f t="shared" ca="1" si="12"/>
        <v>0</v>
      </c>
      <c r="G62" s="631">
        <f t="shared" ca="1" si="12"/>
        <v>0</v>
      </c>
      <c r="H62" s="631">
        <f t="shared" ca="1" si="12"/>
        <v>0</v>
      </c>
      <c r="I62" s="631">
        <f t="shared" ca="1" si="12"/>
        <v>0</v>
      </c>
      <c r="J62" s="631">
        <f t="shared" ca="1" si="12"/>
        <v>0</v>
      </c>
      <c r="K62" s="631">
        <f t="shared" ca="1" si="12"/>
        <v>0</v>
      </c>
      <c r="L62" s="631">
        <f t="shared" ca="1" si="12"/>
        <v>0</v>
      </c>
      <c r="M62" s="631">
        <f t="shared" ca="1" si="12"/>
        <v>0</v>
      </c>
      <c r="N62" s="631">
        <f t="shared" ca="1" si="12"/>
        <v>0</v>
      </c>
      <c r="O62" s="631">
        <f t="shared" ca="1" si="12"/>
        <v>0</v>
      </c>
      <c r="P62" s="631">
        <f t="shared" ca="1" si="12"/>
        <v>0</v>
      </c>
      <c r="Q62" s="631">
        <f t="shared" ca="1" si="12"/>
        <v>0</v>
      </c>
      <c r="R62" s="631">
        <f t="shared" ca="1" si="12"/>
        <v>0</v>
      </c>
      <c r="S62" s="631">
        <f t="shared" ca="1" si="12"/>
        <v>0</v>
      </c>
      <c r="T62" s="631"/>
    </row>
    <row r="63" spans="1:20">
      <c r="A63" s="521">
        <v>26</v>
      </c>
      <c r="B63" s="386">
        <f t="shared" si="6"/>
        <v>52</v>
      </c>
      <c r="C63" s="391" t="str">
        <f t="shared" ca="1" si="5"/>
        <v/>
      </c>
      <c r="D63" s="634">
        <f t="shared" ca="1" si="12"/>
        <v>0</v>
      </c>
      <c r="E63" s="632">
        <f t="shared" ca="1" si="12"/>
        <v>0</v>
      </c>
      <c r="F63" s="632">
        <f t="shared" ca="1" si="12"/>
        <v>0</v>
      </c>
      <c r="G63" s="632">
        <f t="shared" ca="1" si="12"/>
        <v>0</v>
      </c>
      <c r="H63" s="632">
        <f t="shared" ca="1" si="12"/>
        <v>0</v>
      </c>
      <c r="I63" s="632">
        <f t="shared" ca="1" si="12"/>
        <v>0</v>
      </c>
      <c r="J63" s="632">
        <f t="shared" ca="1" si="12"/>
        <v>0</v>
      </c>
      <c r="K63" s="632">
        <f t="shared" ca="1" si="12"/>
        <v>0</v>
      </c>
      <c r="L63" s="632">
        <f t="shared" ca="1" si="12"/>
        <v>0</v>
      </c>
      <c r="M63" s="632">
        <f t="shared" ca="1" si="12"/>
        <v>0</v>
      </c>
      <c r="N63" s="632">
        <f t="shared" ca="1" si="12"/>
        <v>0</v>
      </c>
      <c r="O63" s="632">
        <f t="shared" ca="1" si="12"/>
        <v>0</v>
      </c>
      <c r="P63" s="632">
        <f t="shared" ca="1" si="12"/>
        <v>0</v>
      </c>
      <c r="Q63" s="632">
        <f t="shared" ca="1" si="12"/>
        <v>0</v>
      </c>
      <c r="R63" s="632">
        <f t="shared" ca="1" si="12"/>
        <v>0</v>
      </c>
      <c r="S63" s="632">
        <f t="shared" ca="1" si="12"/>
        <v>0</v>
      </c>
      <c r="T63" s="632">
        <f t="shared" ca="1" si="10"/>
        <v>0</v>
      </c>
    </row>
    <row r="64" spans="1:20">
      <c r="A64" s="521">
        <v>95</v>
      </c>
      <c r="B64" s="388">
        <f t="shared" si="6"/>
        <v>53</v>
      </c>
      <c r="C64" s="389" t="str">
        <f t="shared" ca="1" si="5"/>
        <v/>
      </c>
      <c r="D64" s="630">
        <f t="shared" ca="1" si="12"/>
        <v>0</v>
      </c>
      <c r="E64" s="630">
        <f t="shared" ca="1" si="12"/>
        <v>0</v>
      </c>
      <c r="F64" s="630">
        <f t="shared" ca="1" si="12"/>
        <v>0</v>
      </c>
      <c r="G64" s="630">
        <f t="shared" ca="1" si="12"/>
        <v>0</v>
      </c>
      <c r="H64" s="630">
        <f t="shared" ca="1" si="12"/>
        <v>0</v>
      </c>
      <c r="I64" s="630">
        <f t="shared" ca="1" si="12"/>
        <v>0</v>
      </c>
      <c r="J64" s="630">
        <f t="shared" ca="1" si="12"/>
        <v>0</v>
      </c>
      <c r="K64" s="630">
        <f t="shared" ca="1" si="12"/>
        <v>0</v>
      </c>
      <c r="L64" s="630">
        <f t="shared" ca="1" si="12"/>
        <v>0</v>
      </c>
      <c r="M64" s="630">
        <f t="shared" ca="1" si="12"/>
        <v>0</v>
      </c>
      <c r="N64" s="630">
        <f t="shared" ca="1" si="12"/>
        <v>0</v>
      </c>
      <c r="O64" s="630">
        <f t="shared" ca="1" si="12"/>
        <v>0</v>
      </c>
      <c r="P64" s="630">
        <f t="shared" ca="1" si="12"/>
        <v>0</v>
      </c>
      <c r="Q64" s="630">
        <f t="shared" ca="1" si="12"/>
        <v>0</v>
      </c>
      <c r="R64" s="630">
        <f t="shared" ca="1" si="12"/>
        <v>0</v>
      </c>
      <c r="S64" s="630">
        <f t="shared" ca="1" si="12"/>
        <v>0</v>
      </c>
      <c r="T64" s="630">
        <f t="shared" ca="1" si="10"/>
        <v>0</v>
      </c>
    </row>
    <row r="65" spans="1:20">
      <c r="A65" s="366">
        <v>98</v>
      </c>
      <c r="B65" s="386">
        <f t="shared" si="6"/>
        <v>54</v>
      </c>
      <c r="C65" s="387" t="str">
        <f t="shared" ca="1" si="5"/>
        <v/>
      </c>
      <c r="D65" s="629">
        <f t="shared" ca="1" si="12"/>
        <v>0</v>
      </c>
      <c r="E65" s="629">
        <f t="shared" ca="1" si="12"/>
        <v>0</v>
      </c>
      <c r="F65" s="629">
        <f t="shared" ca="1" si="12"/>
        <v>0</v>
      </c>
      <c r="G65" s="629">
        <f t="shared" ca="1" si="12"/>
        <v>0</v>
      </c>
      <c r="H65" s="629">
        <f t="shared" ca="1" si="12"/>
        <v>0</v>
      </c>
      <c r="I65" s="629">
        <f t="shared" ca="1" si="12"/>
        <v>0</v>
      </c>
      <c r="J65" s="629">
        <f t="shared" ca="1" si="12"/>
        <v>0</v>
      </c>
      <c r="K65" s="629">
        <f t="shared" ca="1" si="12"/>
        <v>0</v>
      </c>
      <c r="L65" s="629">
        <f t="shared" ca="1" si="12"/>
        <v>0</v>
      </c>
      <c r="M65" s="629">
        <f t="shared" ca="1" si="12"/>
        <v>0</v>
      </c>
      <c r="N65" s="629">
        <f t="shared" ca="1" si="12"/>
        <v>0</v>
      </c>
      <c r="O65" s="629">
        <f t="shared" ca="1" si="12"/>
        <v>0</v>
      </c>
      <c r="P65" s="629">
        <f t="shared" ca="1" si="12"/>
        <v>0</v>
      </c>
      <c r="Q65" s="629">
        <f t="shared" ca="1" si="12"/>
        <v>0</v>
      </c>
      <c r="R65" s="629">
        <f t="shared" ca="1" si="12"/>
        <v>0</v>
      </c>
      <c r="S65" s="629">
        <f t="shared" ca="1" si="12"/>
        <v>0</v>
      </c>
      <c r="T65" s="629">
        <f t="shared" ca="1" si="10"/>
        <v>0</v>
      </c>
    </row>
    <row r="66" spans="1:20">
      <c r="A66" s="366">
        <f>A65+1</f>
        <v>99</v>
      </c>
      <c r="B66" s="388">
        <f t="shared" si="6"/>
        <v>55</v>
      </c>
      <c r="C66" s="389" t="str">
        <f t="shared" ca="1" si="5"/>
        <v/>
      </c>
      <c r="D66" s="630">
        <f t="shared" ca="1" si="12"/>
        <v>0</v>
      </c>
      <c r="E66" s="630">
        <f t="shared" ca="1" si="12"/>
        <v>0</v>
      </c>
      <c r="F66" s="630">
        <f t="shared" ca="1" si="12"/>
        <v>0</v>
      </c>
      <c r="G66" s="630">
        <f t="shared" ca="1" si="12"/>
        <v>0</v>
      </c>
      <c r="H66" s="630">
        <f t="shared" ca="1" si="12"/>
        <v>0</v>
      </c>
      <c r="I66" s="630">
        <f t="shared" ca="1" si="12"/>
        <v>0</v>
      </c>
      <c r="J66" s="630">
        <f t="shared" ca="1" si="12"/>
        <v>0</v>
      </c>
      <c r="K66" s="630">
        <f t="shared" ca="1" si="12"/>
        <v>0</v>
      </c>
      <c r="L66" s="630">
        <f t="shared" ca="1" si="12"/>
        <v>0</v>
      </c>
      <c r="M66" s="630">
        <f t="shared" ca="1" si="12"/>
        <v>0</v>
      </c>
      <c r="N66" s="630">
        <f t="shared" ca="1" si="12"/>
        <v>0</v>
      </c>
      <c r="O66" s="630">
        <f t="shared" ca="1" si="12"/>
        <v>0</v>
      </c>
      <c r="P66" s="630">
        <f t="shared" ca="1" si="12"/>
        <v>0</v>
      </c>
      <c r="Q66" s="630">
        <f t="shared" ca="1" si="12"/>
        <v>0</v>
      </c>
      <c r="R66" s="630">
        <f t="shared" ca="1" si="12"/>
        <v>0</v>
      </c>
      <c r="S66" s="630">
        <f t="shared" ca="1" si="12"/>
        <v>0</v>
      </c>
      <c r="T66" s="630">
        <f t="shared" ca="1" si="10"/>
        <v>0</v>
      </c>
    </row>
    <row r="67" spans="1:20">
      <c r="A67" s="366">
        <f t="shared" ref="A67:A72" si="13">A66+1</f>
        <v>100</v>
      </c>
      <c r="B67" s="386">
        <f t="shared" si="6"/>
        <v>56</v>
      </c>
      <c r="C67" s="387" t="str">
        <f t="shared" ca="1" si="5"/>
        <v/>
      </c>
      <c r="D67" s="629">
        <f t="shared" ca="1" si="12"/>
        <v>0</v>
      </c>
      <c r="E67" s="629">
        <f t="shared" ca="1" si="12"/>
        <v>0</v>
      </c>
      <c r="F67" s="629">
        <f t="shared" ca="1" si="12"/>
        <v>0</v>
      </c>
      <c r="G67" s="629">
        <f t="shared" ca="1" si="12"/>
        <v>0</v>
      </c>
      <c r="H67" s="629">
        <f t="shared" ca="1" si="12"/>
        <v>0</v>
      </c>
      <c r="I67" s="629">
        <f t="shared" ca="1" si="12"/>
        <v>0</v>
      </c>
      <c r="J67" s="629">
        <f t="shared" ca="1" si="12"/>
        <v>0</v>
      </c>
      <c r="K67" s="629">
        <f t="shared" ca="1" si="12"/>
        <v>0</v>
      </c>
      <c r="L67" s="629">
        <f t="shared" ca="1" si="12"/>
        <v>0</v>
      </c>
      <c r="M67" s="629">
        <f t="shared" ca="1" si="12"/>
        <v>0</v>
      </c>
      <c r="N67" s="629">
        <f t="shared" ca="1" si="12"/>
        <v>0</v>
      </c>
      <c r="O67" s="629">
        <f t="shared" ca="1" si="12"/>
        <v>0</v>
      </c>
      <c r="P67" s="629">
        <f t="shared" ca="1" si="12"/>
        <v>0</v>
      </c>
      <c r="Q67" s="629">
        <f t="shared" ca="1" si="12"/>
        <v>0</v>
      </c>
      <c r="R67" s="629">
        <f t="shared" ca="1" si="12"/>
        <v>0</v>
      </c>
      <c r="S67" s="629">
        <f t="shared" ca="1" si="12"/>
        <v>0</v>
      </c>
      <c r="T67" s="629">
        <f t="shared" ca="1" si="10"/>
        <v>0</v>
      </c>
    </row>
    <row r="68" spans="1:20">
      <c r="A68" s="366">
        <f t="shared" si="13"/>
        <v>101</v>
      </c>
      <c r="B68" s="392">
        <f t="shared" si="6"/>
        <v>57</v>
      </c>
      <c r="C68" s="619" t="str">
        <f t="shared" ca="1" si="5"/>
        <v/>
      </c>
      <c r="D68" s="633">
        <f t="shared" ca="1" si="12"/>
        <v>0</v>
      </c>
      <c r="E68" s="633">
        <f t="shared" ca="1" si="12"/>
        <v>0</v>
      </c>
      <c r="F68" s="633">
        <f t="shared" ca="1" si="12"/>
        <v>0</v>
      </c>
      <c r="G68" s="633">
        <f t="shared" ca="1" si="12"/>
        <v>0</v>
      </c>
      <c r="H68" s="633">
        <f t="shared" ca="1" si="12"/>
        <v>0</v>
      </c>
      <c r="I68" s="633">
        <f t="shared" ca="1" si="12"/>
        <v>0</v>
      </c>
      <c r="J68" s="633">
        <f t="shared" ca="1" si="12"/>
        <v>0</v>
      </c>
      <c r="K68" s="633">
        <f t="shared" ca="1" si="12"/>
        <v>0</v>
      </c>
      <c r="L68" s="633">
        <f t="shared" ca="1" si="12"/>
        <v>0</v>
      </c>
      <c r="M68" s="633">
        <f t="shared" ca="1" si="12"/>
        <v>0</v>
      </c>
      <c r="N68" s="633">
        <f t="shared" ca="1" si="12"/>
        <v>0</v>
      </c>
      <c r="O68" s="633">
        <f t="shared" ca="1" si="12"/>
        <v>0</v>
      </c>
      <c r="P68" s="633">
        <f t="shared" ca="1" si="12"/>
        <v>0</v>
      </c>
      <c r="Q68" s="633">
        <f t="shared" ca="1" si="12"/>
        <v>0</v>
      </c>
      <c r="R68" s="633">
        <f t="shared" ca="1" si="12"/>
        <v>0</v>
      </c>
      <c r="S68" s="633">
        <f t="shared" ca="1" si="12"/>
        <v>0</v>
      </c>
      <c r="T68" s="633">
        <f t="shared" ca="1" si="10"/>
        <v>0</v>
      </c>
    </row>
    <row r="69" spans="1:20">
      <c r="A69" s="366">
        <f t="shared" si="13"/>
        <v>102</v>
      </c>
      <c r="B69" s="386">
        <f t="shared" si="6"/>
        <v>58</v>
      </c>
      <c r="C69" s="387" t="str">
        <f t="shared" ca="1" si="5"/>
        <v/>
      </c>
      <c r="D69" s="629">
        <f t="shared" ca="1" si="12"/>
        <v>0</v>
      </c>
      <c r="E69" s="629">
        <f t="shared" ca="1" si="12"/>
        <v>0</v>
      </c>
      <c r="F69" s="629">
        <f t="shared" ca="1" si="12"/>
        <v>0</v>
      </c>
      <c r="G69" s="629">
        <f t="shared" ca="1" si="12"/>
        <v>0</v>
      </c>
      <c r="H69" s="629">
        <f t="shared" ca="1" si="12"/>
        <v>0</v>
      </c>
      <c r="I69" s="629">
        <f t="shared" ca="1" si="12"/>
        <v>0</v>
      </c>
      <c r="J69" s="629">
        <f t="shared" ca="1" si="12"/>
        <v>0</v>
      </c>
      <c r="K69" s="629">
        <f t="shared" ca="1" si="12"/>
        <v>0</v>
      </c>
      <c r="L69" s="629">
        <f t="shared" ca="1" si="12"/>
        <v>0</v>
      </c>
      <c r="M69" s="629">
        <f t="shared" ca="1" si="12"/>
        <v>0</v>
      </c>
      <c r="N69" s="629">
        <f t="shared" ca="1" si="12"/>
        <v>0</v>
      </c>
      <c r="O69" s="629">
        <f t="shared" ca="1" si="12"/>
        <v>0</v>
      </c>
      <c r="P69" s="629">
        <f t="shared" ca="1" si="12"/>
        <v>0</v>
      </c>
      <c r="Q69" s="629">
        <f t="shared" ca="1" si="12"/>
        <v>0</v>
      </c>
      <c r="R69" s="629">
        <f t="shared" ca="1" si="12"/>
        <v>0</v>
      </c>
      <c r="S69" s="629">
        <f t="shared" ca="1" si="12"/>
        <v>0</v>
      </c>
      <c r="T69" s="629">
        <f t="shared" ca="1" si="10"/>
        <v>0</v>
      </c>
    </row>
    <row r="70" spans="1:20">
      <c r="A70" s="366">
        <f t="shared" si="13"/>
        <v>103</v>
      </c>
      <c r="B70" s="388">
        <f t="shared" si="6"/>
        <v>59</v>
      </c>
      <c r="C70" s="389" t="str">
        <f t="shared" ca="1" si="5"/>
        <v/>
      </c>
      <c r="D70" s="630">
        <f t="shared" ca="1" si="12"/>
        <v>0</v>
      </c>
      <c r="E70" s="630">
        <f t="shared" ca="1" si="12"/>
        <v>0</v>
      </c>
      <c r="F70" s="630">
        <f t="shared" ca="1" si="12"/>
        <v>0</v>
      </c>
      <c r="G70" s="630">
        <f t="shared" ca="1" si="12"/>
        <v>0</v>
      </c>
      <c r="H70" s="630">
        <f t="shared" ca="1" si="12"/>
        <v>0</v>
      </c>
      <c r="I70" s="630">
        <f t="shared" ca="1" si="12"/>
        <v>0</v>
      </c>
      <c r="J70" s="630">
        <f t="shared" ca="1" si="12"/>
        <v>0</v>
      </c>
      <c r="K70" s="630">
        <f t="shared" ca="1" si="12"/>
        <v>0</v>
      </c>
      <c r="L70" s="630">
        <f t="shared" ca="1" si="12"/>
        <v>0</v>
      </c>
      <c r="M70" s="630">
        <f t="shared" ca="1" si="12"/>
        <v>0</v>
      </c>
      <c r="N70" s="630">
        <f t="shared" ca="1" si="12"/>
        <v>0</v>
      </c>
      <c r="O70" s="630">
        <f t="shared" ca="1" si="12"/>
        <v>0</v>
      </c>
      <c r="P70" s="630">
        <f t="shared" ca="1" si="12"/>
        <v>0</v>
      </c>
      <c r="Q70" s="630">
        <f t="shared" ca="1" si="12"/>
        <v>0</v>
      </c>
      <c r="R70" s="630">
        <f t="shared" ca="1" si="12"/>
        <v>0</v>
      </c>
      <c r="S70" s="630">
        <f t="shared" ca="1" si="12"/>
        <v>0</v>
      </c>
      <c r="T70" s="630">
        <f t="shared" ca="1" si="10"/>
        <v>0</v>
      </c>
    </row>
    <row r="71" spans="1:20">
      <c r="A71" s="366">
        <f t="shared" si="13"/>
        <v>104</v>
      </c>
      <c r="B71" s="386">
        <f t="shared" si="6"/>
        <v>60</v>
      </c>
      <c r="C71" s="387" t="str">
        <f t="shared" ca="1" si="5"/>
        <v/>
      </c>
      <c r="D71" s="629">
        <f t="shared" ca="1" si="12"/>
        <v>0</v>
      </c>
      <c r="E71" s="629">
        <f t="shared" ca="1" si="12"/>
        <v>0</v>
      </c>
      <c r="F71" s="629">
        <f t="shared" ca="1" si="12"/>
        <v>0</v>
      </c>
      <c r="G71" s="629">
        <f t="shared" ca="1" si="12"/>
        <v>0</v>
      </c>
      <c r="H71" s="629">
        <f t="shared" ca="1" si="12"/>
        <v>0</v>
      </c>
      <c r="I71" s="629">
        <f t="shared" ca="1" si="12"/>
        <v>0</v>
      </c>
      <c r="J71" s="629">
        <f t="shared" ca="1" si="12"/>
        <v>0</v>
      </c>
      <c r="K71" s="629">
        <f t="shared" ca="1" si="12"/>
        <v>0</v>
      </c>
      <c r="L71" s="629">
        <f t="shared" ca="1" si="12"/>
        <v>0</v>
      </c>
      <c r="M71" s="629">
        <f t="shared" ca="1" si="12"/>
        <v>0</v>
      </c>
      <c r="N71" s="629">
        <f t="shared" ca="1" si="12"/>
        <v>0</v>
      </c>
      <c r="O71" s="629">
        <f t="shared" ca="1" si="12"/>
        <v>0</v>
      </c>
      <c r="P71" s="629">
        <f t="shared" ca="1" si="12"/>
        <v>0</v>
      </c>
      <c r="Q71" s="629">
        <f t="shared" ca="1" si="12"/>
        <v>0</v>
      </c>
      <c r="R71" s="629">
        <f t="shared" ca="1" si="12"/>
        <v>0</v>
      </c>
      <c r="S71" s="629">
        <f t="shared" ca="1" si="12"/>
        <v>0</v>
      </c>
      <c r="T71" s="629">
        <f t="shared" ca="1" si="10"/>
        <v>0</v>
      </c>
    </row>
    <row r="72" spans="1:20">
      <c r="A72" s="366">
        <f t="shared" si="13"/>
        <v>105</v>
      </c>
      <c r="B72" s="392">
        <f t="shared" si="6"/>
        <v>61</v>
      </c>
      <c r="C72" s="619" t="str">
        <f t="shared" ca="1" si="5"/>
        <v/>
      </c>
      <c r="D72" s="633">
        <f t="shared" ca="1" si="12"/>
        <v>0</v>
      </c>
      <c r="E72" s="633">
        <f t="shared" ca="1" si="12"/>
        <v>0</v>
      </c>
      <c r="F72" s="633">
        <f t="shared" ca="1" si="12"/>
        <v>0</v>
      </c>
      <c r="G72" s="633">
        <f t="shared" ca="1" si="12"/>
        <v>0</v>
      </c>
      <c r="H72" s="633">
        <f t="shared" ca="1" si="12"/>
        <v>0</v>
      </c>
      <c r="I72" s="633">
        <f t="shared" ca="1" si="12"/>
        <v>0</v>
      </c>
      <c r="J72" s="633">
        <f t="shared" ca="1" si="12"/>
        <v>0</v>
      </c>
      <c r="K72" s="633">
        <f t="shared" ca="1" si="12"/>
        <v>0</v>
      </c>
      <c r="L72" s="633">
        <f t="shared" ca="1" si="12"/>
        <v>0</v>
      </c>
      <c r="M72" s="633">
        <f t="shared" ca="1" si="12"/>
        <v>0</v>
      </c>
      <c r="N72" s="633">
        <f t="shared" ca="1" si="12"/>
        <v>0</v>
      </c>
      <c r="O72" s="633">
        <f t="shared" ca="1" si="12"/>
        <v>0</v>
      </c>
      <c r="P72" s="633">
        <f t="shared" ca="1" si="12"/>
        <v>0</v>
      </c>
      <c r="Q72" s="633">
        <f t="shared" ca="1" si="12"/>
        <v>0</v>
      </c>
      <c r="R72" s="633">
        <f t="shared" ca="1" si="12"/>
        <v>0</v>
      </c>
      <c r="S72" s="633">
        <f t="shared" ca="1" si="12"/>
        <v>0</v>
      </c>
      <c r="T72" s="633">
        <f ca="1">SUM(D72:S72)</f>
        <v>0</v>
      </c>
    </row>
    <row r="73" spans="1:20">
      <c r="B73" s="525" t="str">
        <f ca="1">IF(LEN(CONCATENATE($C$36,$C$37))&gt;0,"*)","")</f>
        <v/>
      </c>
      <c r="C73" s="526" t="str">
        <f ca="1">IF(LEN(C52)&gt;0,"(Der indbetales 18% af summen af de 'pensionsgivende løndele', der overstiger skalatrin "&amp;IF(LEFT(D10)="B",33,42)&amp;".)","")</f>
        <v/>
      </c>
    </row>
    <row r="74" spans="1:20">
      <c r="B74" s="525" t="str">
        <f ca="1">IF(LEN(C53)&gt;0,"**)","")</f>
        <v/>
      </c>
    </row>
  </sheetData>
  <sheetProtection sheet="1" objects="1" scenarios="1" formatCells="0" formatColumns="0" formatRows="0" insertColumns="0"/>
  <phoneticPr fontId="10" type="noConversion"/>
  <printOptions horizontalCentered="1" verticalCentered="1"/>
  <pageMargins left="0.75000000000000011" right="0.75000000000000011" top="1" bottom="1" header="0.5" footer="0.5"/>
  <pageSetup paperSize="9" scale="31" orientation="portrait" horizontalDpi="4294967292" verticalDpi="4294967292"/>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pageSetUpPr fitToPage="1"/>
  </sheetPr>
  <dimension ref="A1:J74"/>
  <sheetViews>
    <sheetView showZeros="0" workbookViewId="0">
      <selection activeCell="C1" sqref="C1"/>
    </sheetView>
  </sheetViews>
  <sheetFormatPr baseColWidth="10" defaultRowHeight="12" x14ac:dyDescent="0"/>
  <cols>
    <col min="1" max="1" width="6" style="353" customWidth="1"/>
    <col min="2" max="2" width="3.42578125" style="353" customWidth="1"/>
    <col min="3" max="3" width="32" style="353" customWidth="1"/>
    <col min="4" max="4" width="41.28515625" style="353" customWidth="1"/>
    <col min="5" max="5" width="11.28515625" style="353" bestFit="1" customWidth="1"/>
    <col min="6" max="16384" width="10.7109375" style="353"/>
  </cols>
  <sheetData>
    <row r="1" spans="1:10">
      <c r="A1" s="353" t="s">
        <v>291</v>
      </c>
      <c r="B1" s="365"/>
      <c r="C1" s="597" t="s">
        <v>292</v>
      </c>
      <c r="D1" s="353" t="s">
        <v>556</v>
      </c>
    </row>
    <row r="2" spans="1:10">
      <c r="A2" s="353" t="s">
        <v>294</v>
      </c>
      <c r="B2" s="537"/>
      <c r="C2" s="598" t="s">
        <v>303</v>
      </c>
      <c r="D2" s="353" t="s">
        <v>295</v>
      </c>
    </row>
    <row r="4" spans="1:10" ht="25" customHeight="1">
      <c r="A4" s="366">
        <v>1</v>
      </c>
      <c r="B4" s="368"/>
      <c r="C4" s="368" t="s">
        <v>296</v>
      </c>
      <c r="D4" s="497" t="str">
        <f t="shared" ref="D4:D9" ca="1" si="0">INDIRECT($C$1&amp;"!"&amp;VLOOKUP($C$2,mdr,2,0)&amp;A4)</f>
        <v>A</v>
      </c>
    </row>
    <row r="5" spans="1:10" ht="13">
      <c r="A5" s="366">
        <v>2</v>
      </c>
      <c r="B5" s="370"/>
      <c r="C5" s="370" t="s">
        <v>297</v>
      </c>
      <c r="D5" s="499" t="str">
        <f t="shared" ca="1" si="0"/>
        <v>AUG 14</v>
      </c>
      <c r="I5" s="500" t="s">
        <v>303</v>
      </c>
      <c r="J5" s="501" t="s">
        <v>324</v>
      </c>
    </row>
    <row r="6" spans="1:10" ht="13">
      <c r="A6" s="366">
        <v>8</v>
      </c>
      <c r="B6" s="371"/>
      <c r="C6" s="371" t="s">
        <v>298</v>
      </c>
      <c r="D6" s="502">
        <f t="shared" ca="1" si="0"/>
        <v>0</v>
      </c>
      <c r="I6" s="503" t="s">
        <v>319</v>
      </c>
      <c r="J6" s="504" t="s">
        <v>326</v>
      </c>
    </row>
    <row r="7" spans="1:10" ht="13">
      <c r="A7" s="366">
        <v>3</v>
      </c>
      <c r="B7" s="370"/>
      <c r="C7" s="370" t="s">
        <v>299</v>
      </c>
      <c r="D7" s="527">
        <f t="shared" ca="1" si="0"/>
        <v>1</v>
      </c>
      <c r="I7" s="503" t="s">
        <v>321</v>
      </c>
      <c r="J7" s="504" t="s">
        <v>328</v>
      </c>
    </row>
    <row r="8" spans="1:10" ht="13">
      <c r="A8" s="366">
        <v>7</v>
      </c>
      <c r="B8" s="371"/>
      <c r="C8" s="371" t="s">
        <v>460</v>
      </c>
      <c r="D8" s="506">
        <f t="shared" ca="1" si="0"/>
        <v>2</v>
      </c>
      <c r="I8" s="503" t="s">
        <v>323</v>
      </c>
      <c r="J8" s="504" t="s">
        <v>330</v>
      </c>
    </row>
    <row r="9" spans="1:10" ht="13">
      <c r="A9" s="366">
        <v>9</v>
      </c>
      <c r="B9" s="370"/>
      <c r="C9" s="370" t="s">
        <v>461</v>
      </c>
      <c r="D9" s="529">
        <f t="shared" ca="1" si="0"/>
        <v>0</v>
      </c>
      <c r="I9" s="503" t="s">
        <v>325</v>
      </c>
      <c r="J9" s="504" t="s">
        <v>332</v>
      </c>
    </row>
    <row r="10" spans="1:10" ht="13">
      <c r="A10" s="507">
        <v>4</v>
      </c>
      <c r="B10" s="371"/>
      <c r="C10" s="371" t="s">
        <v>473</v>
      </c>
      <c r="D10" s="506" t="str">
        <f ca="1">INDIRECT($C$1&amp;"!"&amp;VLOOKUP($C$2,mdr,2,0)&amp;A10)&amp;"; "&amp;IF(LEFT(INDIRECT($C$1&amp;"!G5"))="L","LP","Tjenestemand, trin "&amp;RIGHT(INDIRECT($C$1&amp;"!G5"),2))</f>
        <v xml:space="preserve">; Tjenestemand, trin </v>
      </c>
      <c r="I10" s="503" t="s">
        <v>327</v>
      </c>
      <c r="J10" s="504" t="s">
        <v>334</v>
      </c>
    </row>
    <row r="11" spans="1:10" ht="13">
      <c r="B11" s="370"/>
      <c r="C11" s="370"/>
      <c r="D11" s="538"/>
      <c r="E11" s="539"/>
      <c r="I11" s="503" t="s">
        <v>329</v>
      </c>
      <c r="J11" s="504" t="s">
        <v>336</v>
      </c>
    </row>
    <row r="12" spans="1:10" ht="13">
      <c r="A12" s="366">
        <v>45</v>
      </c>
      <c r="B12" s="376">
        <v>1</v>
      </c>
      <c r="C12" s="377" t="str">
        <f t="shared" ref="C12:C50" ca="1" si="1">IF(E12&lt;&gt;0,INDIRECT($C$1&amp;"!f"&amp;A12),"")</f>
        <v/>
      </c>
      <c r="D12" s="542" t="str">
        <f t="shared" ref="D12:D72" ca="1" si="2">IF(E12&lt;&gt;0,INDIRECT($C$1&amp;"!"&amp;VLOOKUP($C$2,mdr,2,0)&amp;A12+100),"")</f>
        <v/>
      </c>
      <c r="E12" s="511">
        <f t="shared" ref="E12:E50" ca="1" si="3">INDIRECT($C$1&amp;"!"&amp;VLOOKUP($C$2,mdr,2,0)&amp;A12)</f>
        <v>0</v>
      </c>
      <c r="F12" s="541"/>
      <c r="I12" s="503" t="s">
        <v>331</v>
      </c>
      <c r="J12" s="504" t="s">
        <v>338</v>
      </c>
    </row>
    <row r="13" spans="1:10" ht="13">
      <c r="A13" s="366">
        <v>46</v>
      </c>
      <c r="B13" s="374">
        <f>B12+1</f>
        <v>2</v>
      </c>
      <c r="C13" s="375" t="str">
        <f t="shared" ca="1" si="1"/>
        <v/>
      </c>
      <c r="D13" s="540" t="str">
        <f t="shared" ca="1" si="2"/>
        <v/>
      </c>
      <c r="E13" s="510">
        <f t="shared" ca="1" si="3"/>
        <v>0</v>
      </c>
      <c r="F13" s="541"/>
      <c r="I13" s="503" t="s">
        <v>333</v>
      </c>
      <c r="J13" s="504" t="s">
        <v>340</v>
      </c>
    </row>
    <row r="14" spans="1:10" ht="26" customHeight="1">
      <c r="A14" s="366">
        <v>47</v>
      </c>
      <c r="B14" s="376">
        <f t="shared" ref="B14:B72" si="4">B13+1</f>
        <v>3</v>
      </c>
      <c r="C14" s="377" t="str">
        <f t="shared" ca="1" si="1"/>
        <v/>
      </c>
      <c r="D14" s="542" t="str">
        <f t="shared" ca="1" si="2"/>
        <v/>
      </c>
      <c r="E14" s="511">
        <f t="shared" ca="1" si="3"/>
        <v>0</v>
      </c>
      <c r="F14" s="541"/>
      <c r="I14" s="503" t="s">
        <v>335</v>
      </c>
      <c r="J14" s="504" t="s">
        <v>442</v>
      </c>
    </row>
    <row r="15" spans="1:10" ht="13">
      <c r="A15" s="366">
        <v>48</v>
      </c>
      <c r="B15" s="374">
        <f t="shared" si="4"/>
        <v>4</v>
      </c>
      <c r="C15" s="375" t="str">
        <f t="shared" ca="1" si="1"/>
        <v/>
      </c>
      <c r="D15" s="540" t="str">
        <f t="shared" ca="1" si="2"/>
        <v/>
      </c>
      <c r="E15" s="510">
        <f t="shared" ca="1" si="3"/>
        <v>0</v>
      </c>
      <c r="F15" s="541"/>
      <c r="I15" s="503" t="s">
        <v>337</v>
      </c>
      <c r="J15" s="504" t="s">
        <v>443</v>
      </c>
    </row>
    <row r="16" spans="1:10" ht="13">
      <c r="A16" s="366">
        <v>49</v>
      </c>
      <c r="B16" s="376">
        <f t="shared" si="4"/>
        <v>5</v>
      </c>
      <c r="C16" s="377" t="str">
        <f t="shared" ca="1" si="1"/>
        <v/>
      </c>
      <c r="D16" s="542" t="str">
        <f t="shared" ca="1" si="2"/>
        <v/>
      </c>
      <c r="E16" s="511">
        <f t="shared" ca="1" si="3"/>
        <v>0</v>
      </c>
      <c r="F16" s="541"/>
      <c r="I16" s="512" t="s">
        <v>339</v>
      </c>
      <c r="J16" s="513" t="s">
        <v>444</v>
      </c>
    </row>
    <row r="17" spans="1:8" ht="13">
      <c r="A17" s="366">
        <v>50</v>
      </c>
      <c r="B17" s="374">
        <f t="shared" si="4"/>
        <v>6</v>
      </c>
      <c r="C17" s="375" t="str">
        <f t="shared" ca="1" si="1"/>
        <v/>
      </c>
      <c r="D17" s="540" t="str">
        <f t="shared" ca="1" si="2"/>
        <v/>
      </c>
      <c r="E17" s="510">
        <f t="shared" ca="1" si="3"/>
        <v>0</v>
      </c>
      <c r="F17" s="541"/>
    </row>
    <row r="18" spans="1:8" ht="13">
      <c r="A18" s="366">
        <v>51</v>
      </c>
      <c r="B18" s="376">
        <f t="shared" si="4"/>
        <v>7</v>
      </c>
      <c r="C18" s="377" t="str">
        <f t="shared" ca="1" si="1"/>
        <v/>
      </c>
      <c r="D18" s="542" t="str">
        <f t="shared" ca="1" si="2"/>
        <v/>
      </c>
      <c r="E18" s="511">
        <f t="shared" ca="1" si="3"/>
        <v>0</v>
      </c>
      <c r="F18" s="541"/>
    </row>
    <row r="19" spans="1:8" ht="13">
      <c r="A19" s="366">
        <v>52</v>
      </c>
      <c r="B19" s="374">
        <f t="shared" si="4"/>
        <v>8</v>
      </c>
      <c r="C19" s="375" t="str">
        <f t="shared" ca="1" si="1"/>
        <v/>
      </c>
      <c r="D19" s="540" t="str">
        <f t="shared" ca="1" si="2"/>
        <v/>
      </c>
      <c r="E19" s="510">
        <f t="shared" ca="1" si="3"/>
        <v>0</v>
      </c>
      <c r="F19" s="541"/>
    </row>
    <row r="20" spans="1:8" ht="13">
      <c r="A20" s="366">
        <v>53</v>
      </c>
      <c r="B20" s="376">
        <f t="shared" si="4"/>
        <v>9</v>
      </c>
      <c r="C20" s="377" t="str">
        <f t="shared" ca="1" si="1"/>
        <v/>
      </c>
      <c r="D20" s="542" t="str">
        <f t="shared" ca="1" si="2"/>
        <v/>
      </c>
      <c r="E20" s="511">
        <f t="shared" ca="1" si="3"/>
        <v>0</v>
      </c>
      <c r="F20" s="541"/>
    </row>
    <row r="21" spans="1:8" ht="13">
      <c r="A21" s="366">
        <v>54</v>
      </c>
      <c r="B21" s="374">
        <f t="shared" si="4"/>
        <v>10</v>
      </c>
      <c r="C21" s="375" t="str">
        <f t="shared" ca="1" si="1"/>
        <v/>
      </c>
      <c r="D21" s="540" t="str">
        <f t="shared" ca="1" si="2"/>
        <v/>
      </c>
      <c r="E21" s="510">
        <f t="shared" ca="1" si="3"/>
        <v>0</v>
      </c>
      <c r="F21" s="541"/>
    </row>
    <row r="22" spans="1:8" ht="13">
      <c r="A22" s="366">
        <v>55</v>
      </c>
      <c r="B22" s="376">
        <f t="shared" si="4"/>
        <v>11</v>
      </c>
      <c r="C22" s="377" t="str">
        <f t="shared" ca="1" si="1"/>
        <v/>
      </c>
      <c r="D22" s="542" t="str">
        <f t="shared" ca="1" si="2"/>
        <v/>
      </c>
      <c r="E22" s="511">
        <f t="shared" ca="1" si="3"/>
        <v>0</v>
      </c>
      <c r="F22" s="541"/>
    </row>
    <row r="23" spans="1:8" ht="13">
      <c r="A23" s="366">
        <v>56</v>
      </c>
      <c r="B23" s="374">
        <f t="shared" si="4"/>
        <v>12</v>
      </c>
      <c r="C23" s="375" t="str">
        <f t="shared" ca="1" si="1"/>
        <v/>
      </c>
      <c r="D23" s="540" t="str">
        <f t="shared" ca="1" si="2"/>
        <v/>
      </c>
      <c r="E23" s="510">
        <f t="shared" ca="1" si="3"/>
        <v>0</v>
      </c>
      <c r="F23" s="541"/>
    </row>
    <row r="24" spans="1:8" ht="13">
      <c r="A24" s="366">
        <v>57</v>
      </c>
      <c r="B24" s="376">
        <f t="shared" si="4"/>
        <v>13</v>
      </c>
      <c r="C24" s="377" t="str">
        <f t="shared" ca="1" si="1"/>
        <v/>
      </c>
      <c r="D24" s="542" t="str">
        <f t="shared" ca="1" si="2"/>
        <v/>
      </c>
      <c r="E24" s="511">
        <f t="shared" ca="1" si="3"/>
        <v>0</v>
      </c>
      <c r="F24" s="541"/>
    </row>
    <row r="25" spans="1:8" ht="13">
      <c r="A25" s="366">
        <v>58</v>
      </c>
      <c r="B25" s="374">
        <f t="shared" si="4"/>
        <v>14</v>
      </c>
      <c r="C25" s="375" t="str">
        <f t="shared" ca="1" si="1"/>
        <v/>
      </c>
      <c r="D25" s="540" t="str">
        <f t="shared" ca="1" si="2"/>
        <v/>
      </c>
      <c r="E25" s="510">
        <f t="shared" ca="1" si="3"/>
        <v>0</v>
      </c>
      <c r="F25" s="541"/>
    </row>
    <row r="26" spans="1:8" ht="13">
      <c r="A26" s="366">
        <v>59</v>
      </c>
      <c r="B26" s="376">
        <f t="shared" si="4"/>
        <v>15</v>
      </c>
      <c r="C26" s="377" t="str">
        <f t="shared" ca="1" si="1"/>
        <v/>
      </c>
      <c r="D26" s="542" t="str">
        <f t="shared" ca="1" si="2"/>
        <v/>
      </c>
      <c r="E26" s="511">
        <f t="shared" ca="1" si="3"/>
        <v>0</v>
      </c>
      <c r="F26" s="541"/>
    </row>
    <row r="27" spans="1:8" ht="13">
      <c r="A27" s="366">
        <v>60</v>
      </c>
      <c r="B27" s="374">
        <f t="shared" si="4"/>
        <v>16</v>
      </c>
      <c r="C27" s="375" t="str">
        <f t="shared" ca="1" si="1"/>
        <v/>
      </c>
      <c r="D27" s="540" t="str">
        <f t="shared" ca="1" si="2"/>
        <v/>
      </c>
      <c r="E27" s="510">
        <f t="shared" ca="1" si="3"/>
        <v>0</v>
      </c>
      <c r="F27" s="541"/>
    </row>
    <row r="28" spans="1:8" ht="13">
      <c r="A28" s="366">
        <v>61</v>
      </c>
      <c r="B28" s="376">
        <f t="shared" si="4"/>
        <v>17</v>
      </c>
      <c r="C28" s="377" t="str">
        <f t="shared" ca="1" si="1"/>
        <v/>
      </c>
      <c r="D28" s="542" t="str">
        <f t="shared" ca="1" si="2"/>
        <v/>
      </c>
      <c r="E28" s="511">
        <f t="shared" ca="1" si="3"/>
        <v>0</v>
      </c>
      <c r="F28" s="541"/>
      <c r="G28" s="541"/>
      <c r="H28" s="541"/>
    </row>
    <row r="29" spans="1:8" ht="13">
      <c r="A29" s="366">
        <v>62</v>
      </c>
      <c r="B29" s="374">
        <f t="shared" si="4"/>
        <v>18</v>
      </c>
      <c r="C29" s="375" t="str">
        <f t="shared" ca="1" si="1"/>
        <v/>
      </c>
      <c r="D29" s="540" t="str">
        <f t="shared" ca="1" si="2"/>
        <v/>
      </c>
      <c r="E29" s="510">
        <f t="shared" ca="1" si="3"/>
        <v>0</v>
      </c>
      <c r="F29" s="541"/>
    </row>
    <row r="30" spans="1:8" ht="25" customHeight="1">
      <c r="A30" s="366">
        <v>63</v>
      </c>
      <c r="B30" s="376">
        <f t="shared" si="4"/>
        <v>19</v>
      </c>
      <c r="C30" s="377" t="str">
        <f t="shared" ca="1" si="1"/>
        <v/>
      </c>
      <c r="D30" s="542" t="str">
        <f t="shared" ca="1" si="2"/>
        <v/>
      </c>
      <c r="E30" s="511">
        <f t="shared" ca="1" si="3"/>
        <v>0</v>
      </c>
      <c r="F30" s="541"/>
      <c r="G30" s="541"/>
      <c r="H30" s="541"/>
    </row>
    <row r="31" spans="1:8" ht="13">
      <c r="A31" s="366">
        <v>64</v>
      </c>
      <c r="B31" s="374">
        <f t="shared" si="4"/>
        <v>20</v>
      </c>
      <c r="C31" s="375" t="str">
        <f t="shared" ca="1" si="1"/>
        <v/>
      </c>
      <c r="D31" s="540" t="str">
        <f t="shared" ca="1" si="2"/>
        <v/>
      </c>
      <c r="E31" s="510">
        <f t="shared" ca="1" si="3"/>
        <v>0</v>
      </c>
      <c r="F31" s="541"/>
    </row>
    <row r="32" spans="1:8" ht="13">
      <c r="A32" s="366">
        <v>65</v>
      </c>
      <c r="B32" s="376">
        <f t="shared" si="4"/>
        <v>21</v>
      </c>
      <c r="C32" s="377" t="str">
        <f t="shared" ca="1" si="1"/>
        <v/>
      </c>
      <c r="D32" s="542" t="str">
        <f t="shared" ca="1" si="2"/>
        <v/>
      </c>
      <c r="E32" s="511">
        <f t="shared" ca="1" si="3"/>
        <v>0</v>
      </c>
      <c r="F32" s="541"/>
      <c r="G32" s="543"/>
      <c r="H32" s="543"/>
    </row>
    <row r="33" spans="1:6" ht="13">
      <c r="A33" s="366">
        <v>66</v>
      </c>
      <c r="B33" s="374">
        <f t="shared" si="4"/>
        <v>22</v>
      </c>
      <c r="C33" s="375" t="str">
        <f t="shared" ref="C33:C39" ca="1" si="5">IF(E33&lt;&gt;0,INDIRECT($C$1&amp;"!f"&amp;A33),"")</f>
        <v/>
      </c>
      <c r="D33" s="540" t="str">
        <f t="shared" ref="D33:D39" ca="1" si="6">IF(E33&lt;&gt;0,INDIRECT($C$1&amp;"!"&amp;VLOOKUP($C$2,mdr,2,0)&amp;A33+100),"")</f>
        <v/>
      </c>
      <c r="E33" s="510">
        <f t="shared" ref="E33:E39" ca="1" si="7">INDIRECT($C$1&amp;"!"&amp;VLOOKUP($C$2,mdr,2,0)&amp;A33)</f>
        <v>0</v>
      </c>
      <c r="F33" s="541"/>
    </row>
    <row r="34" spans="1:6" ht="13">
      <c r="A34" s="366">
        <v>67</v>
      </c>
      <c r="B34" s="376">
        <f t="shared" si="4"/>
        <v>23</v>
      </c>
      <c r="C34" s="377" t="str">
        <f t="shared" ca="1" si="5"/>
        <v/>
      </c>
      <c r="D34" s="542" t="str">
        <f t="shared" ca="1" si="6"/>
        <v/>
      </c>
      <c r="E34" s="511">
        <f t="shared" ca="1" si="7"/>
        <v>0</v>
      </c>
      <c r="F34" s="541"/>
    </row>
    <row r="35" spans="1:6" ht="13">
      <c r="A35" s="366">
        <v>68</v>
      </c>
      <c r="B35" s="374">
        <f t="shared" si="4"/>
        <v>24</v>
      </c>
      <c r="C35" s="375" t="str">
        <f t="shared" ca="1" si="5"/>
        <v/>
      </c>
      <c r="D35" s="540" t="str">
        <f t="shared" ca="1" si="6"/>
        <v/>
      </c>
      <c r="E35" s="510">
        <f t="shared" ca="1" si="7"/>
        <v>0</v>
      </c>
      <c r="F35" s="541"/>
    </row>
    <row r="36" spans="1:6" ht="13">
      <c r="A36" s="366">
        <v>69</v>
      </c>
      <c r="B36" s="376">
        <f t="shared" si="4"/>
        <v>25</v>
      </c>
      <c r="C36" s="377" t="str">
        <f t="shared" ca="1" si="5"/>
        <v/>
      </c>
      <c r="D36" s="542" t="str">
        <f t="shared" ca="1" si="6"/>
        <v/>
      </c>
      <c r="E36" s="511">
        <f t="shared" ca="1" si="7"/>
        <v>0</v>
      </c>
      <c r="F36" s="541"/>
    </row>
    <row r="37" spans="1:6" ht="13">
      <c r="A37" s="366">
        <v>70</v>
      </c>
      <c r="B37" s="374">
        <f t="shared" si="4"/>
        <v>26</v>
      </c>
      <c r="C37" s="375" t="str">
        <f t="shared" ca="1" si="5"/>
        <v/>
      </c>
      <c r="D37" s="540" t="str">
        <f t="shared" ca="1" si="6"/>
        <v/>
      </c>
      <c r="E37" s="510">
        <f t="shared" ca="1" si="7"/>
        <v>0</v>
      </c>
      <c r="F37" s="541"/>
    </row>
    <row r="38" spans="1:6" ht="13">
      <c r="A38" s="366">
        <v>71</v>
      </c>
      <c r="B38" s="376">
        <f>B37+1</f>
        <v>27</v>
      </c>
      <c r="C38" s="377" t="str">
        <f t="shared" ref="C38" ca="1" si="8">IF(E38&lt;&gt;0,INDIRECT($C$1&amp;"!f"&amp;A38),"")</f>
        <v/>
      </c>
      <c r="D38" s="542" t="str">
        <f t="shared" ref="D38" ca="1" si="9">IF(E38&lt;&gt;0,INDIRECT($C$1&amp;"!"&amp;VLOOKUP($C$2,mdr,2,0)&amp;A38+100),"")</f>
        <v/>
      </c>
      <c r="E38" s="511">
        <f t="shared" ca="1" si="7"/>
        <v>0</v>
      </c>
      <c r="F38" s="541"/>
    </row>
    <row r="39" spans="1:6" ht="13">
      <c r="A39" s="366">
        <v>72</v>
      </c>
      <c r="B39" s="374">
        <f>B38+1</f>
        <v>28</v>
      </c>
      <c r="C39" s="375" t="str">
        <f t="shared" ca="1" si="5"/>
        <v/>
      </c>
      <c r="D39" s="540" t="str">
        <f t="shared" ca="1" si="6"/>
        <v/>
      </c>
      <c r="E39" s="510">
        <f t="shared" ca="1" si="7"/>
        <v>0</v>
      </c>
      <c r="F39" s="541"/>
    </row>
    <row r="40" spans="1:6" ht="13">
      <c r="A40" s="366">
        <v>73</v>
      </c>
      <c r="B40" s="378">
        <f t="shared" si="4"/>
        <v>29</v>
      </c>
      <c r="C40" s="379" t="str">
        <f t="shared" ca="1" si="1"/>
        <v/>
      </c>
      <c r="D40" s="544" t="str">
        <f t="shared" ca="1" si="2"/>
        <v/>
      </c>
      <c r="E40" s="514">
        <f t="shared" ca="1" si="3"/>
        <v>0</v>
      </c>
      <c r="F40" s="541"/>
    </row>
    <row r="41" spans="1:6" ht="13">
      <c r="A41" s="366">
        <v>74</v>
      </c>
      <c r="B41" s="380">
        <f t="shared" si="4"/>
        <v>30</v>
      </c>
      <c r="C41" s="381" t="str">
        <f t="shared" ca="1" si="1"/>
        <v/>
      </c>
      <c r="D41" s="545" t="str">
        <f t="shared" ca="1" si="2"/>
        <v/>
      </c>
      <c r="E41" s="515">
        <f t="shared" ca="1" si="3"/>
        <v>0</v>
      </c>
      <c r="F41" s="541"/>
    </row>
    <row r="42" spans="1:6" ht="13">
      <c r="A42" s="366">
        <v>75</v>
      </c>
      <c r="B42" s="382">
        <f t="shared" si="4"/>
        <v>31</v>
      </c>
      <c r="C42" s="383" t="str">
        <f t="shared" ca="1" si="1"/>
        <v/>
      </c>
      <c r="D42" s="546" t="str">
        <f t="shared" ca="1" si="2"/>
        <v/>
      </c>
      <c r="E42" s="516">
        <f t="shared" ca="1" si="3"/>
        <v>0</v>
      </c>
      <c r="F42" s="541"/>
    </row>
    <row r="43" spans="1:6" ht="13">
      <c r="A43" s="366">
        <v>76</v>
      </c>
      <c r="B43" s="380">
        <f t="shared" si="4"/>
        <v>32</v>
      </c>
      <c r="C43" s="381" t="str">
        <f t="shared" ca="1" si="1"/>
        <v/>
      </c>
      <c r="D43" s="545" t="str">
        <f t="shared" ca="1" si="2"/>
        <v/>
      </c>
      <c r="E43" s="515">
        <f t="shared" ca="1" si="3"/>
        <v>0</v>
      </c>
      <c r="F43" s="541"/>
    </row>
    <row r="44" spans="1:6" ht="13">
      <c r="A44" s="366">
        <v>77</v>
      </c>
      <c r="B44" s="382">
        <f t="shared" si="4"/>
        <v>33</v>
      </c>
      <c r="C44" s="383" t="str">
        <f t="shared" ca="1" si="1"/>
        <v/>
      </c>
      <c r="D44" s="546" t="str">
        <f t="shared" ca="1" si="2"/>
        <v/>
      </c>
      <c r="E44" s="516">
        <f t="shared" ca="1" si="3"/>
        <v>0</v>
      </c>
      <c r="F44" s="541"/>
    </row>
    <row r="45" spans="1:6" ht="13">
      <c r="A45" s="366">
        <v>78</v>
      </c>
      <c r="B45" s="380">
        <f t="shared" si="4"/>
        <v>34</v>
      </c>
      <c r="C45" s="381" t="str">
        <f t="shared" ca="1" si="1"/>
        <v/>
      </c>
      <c r="D45" s="545" t="str">
        <f t="shared" ca="1" si="2"/>
        <v/>
      </c>
      <c r="E45" s="515">
        <f t="shared" ca="1" si="3"/>
        <v>0</v>
      </c>
      <c r="F45" s="541"/>
    </row>
    <row r="46" spans="1:6" ht="13">
      <c r="A46" s="366">
        <v>79</v>
      </c>
      <c r="B46" s="382">
        <f t="shared" si="4"/>
        <v>35</v>
      </c>
      <c r="C46" s="383" t="str">
        <f t="shared" ca="1" si="1"/>
        <v/>
      </c>
      <c r="D46" s="546" t="str">
        <f t="shared" ca="1" si="2"/>
        <v/>
      </c>
      <c r="E46" s="516">
        <f t="shared" ca="1" si="3"/>
        <v>0</v>
      </c>
      <c r="F46" s="541"/>
    </row>
    <row r="47" spans="1:6" ht="13">
      <c r="A47" s="366">
        <v>80</v>
      </c>
      <c r="B47" s="380">
        <f t="shared" si="4"/>
        <v>36</v>
      </c>
      <c r="C47" s="381" t="str">
        <f t="shared" ca="1" si="1"/>
        <v/>
      </c>
      <c r="D47" s="545" t="str">
        <f t="shared" ca="1" si="2"/>
        <v/>
      </c>
      <c r="E47" s="515">
        <f t="shared" ca="1" si="3"/>
        <v>0</v>
      </c>
      <c r="F47" s="541"/>
    </row>
    <row r="48" spans="1:6" ht="13">
      <c r="A48" s="366">
        <v>81</v>
      </c>
      <c r="B48" s="382">
        <f t="shared" si="4"/>
        <v>37</v>
      </c>
      <c r="C48" s="383" t="str">
        <f t="shared" ca="1" si="1"/>
        <v/>
      </c>
      <c r="D48" s="546" t="str">
        <f t="shared" ca="1" si="2"/>
        <v/>
      </c>
      <c r="E48" s="516">
        <f t="shared" ca="1" si="3"/>
        <v>0</v>
      </c>
      <c r="F48" s="541"/>
    </row>
    <row r="49" spans="1:10" ht="13">
      <c r="A49" s="366">
        <v>82</v>
      </c>
      <c r="B49" s="380">
        <f t="shared" si="4"/>
        <v>38</v>
      </c>
      <c r="C49" s="381" t="str">
        <f t="shared" ca="1" si="1"/>
        <v/>
      </c>
      <c r="D49" s="545" t="str">
        <f t="shared" ca="1" si="2"/>
        <v/>
      </c>
      <c r="E49" s="515">
        <f t="shared" ca="1" si="3"/>
        <v>0</v>
      </c>
      <c r="F49" s="541"/>
    </row>
    <row r="50" spans="1:10" ht="13">
      <c r="A50" s="366">
        <v>83</v>
      </c>
      <c r="B50" s="382">
        <f t="shared" si="4"/>
        <v>39</v>
      </c>
      <c r="C50" s="383" t="str">
        <f t="shared" ca="1" si="1"/>
        <v/>
      </c>
      <c r="D50" s="546" t="str">
        <f t="shared" ca="1" si="2"/>
        <v/>
      </c>
      <c r="E50" s="516">
        <f t="shared" ca="1" si="3"/>
        <v>0</v>
      </c>
      <c r="F50" s="541"/>
    </row>
    <row r="51" spans="1:10" ht="13">
      <c r="A51" s="366">
        <v>84</v>
      </c>
      <c r="B51" s="380">
        <f t="shared" si="4"/>
        <v>40</v>
      </c>
      <c r="C51" s="381" t="str">
        <f t="shared" ref="C51:C72" ca="1" si="10">IF(E51&lt;&gt;0,INDIRECT($C$1&amp;"!f"&amp;A51),"")</f>
        <v/>
      </c>
      <c r="D51" s="545" t="str">
        <f t="shared" ca="1" si="2"/>
        <v/>
      </c>
      <c r="E51" s="515">
        <f t="shared" ref="E51:E72" ca="1" si="11">INDIRECT($C$1&amp;"!"&amp;VLOOKUP($C$2,mdr,2,0)&amp;A51)</f>
        <v>0</v>
      </c>
      <c r="F51" s="541"/>
    </row>
    <row r="52" spans="1:10" ht="13">
      <c r="A52" s="366">
        <v>85</v>
      </c>
      <c r="B52" s="382">
        <f t="shared" si="4"/>
        <v>41</v>
      </c>
      <c r="C52" s="383" t="str">
        <f t="shared" ca="1" si="10"/>
        <v/>
      </c>
      <c r="D52" s="546" t="str">
        <f t="shared" ca="1" si="2"/>
        <v/>
      </c>
      <c r="E52" s="516">
        <f t="shared" ca="1" si="11"/>
        <v>0</v>
      </c>
      <c r="F52" s="541"/>
    </row>
    <row r="53" spans="1:10" ht="27" customHeight="1">
      <c r="A53" s="366">
        <v>86</v>
      </c>
      <c r="B53" s="380">
        <f t="shared" si="4"/>
        <v>42</v>
      </c>
      <c r="C53" s="381" t="str">
        <f t="shared" ca="1" si="10"/>
        <v/>
      </c>
      <c r="D53" s="545" t="str">
        <f t="shared" ca="1" si="2"/>
        <v/>
      </c>
      <c r="E53" s="515">
        <f t="shared" ca="1" si="11"/>
        <v>0</v>
      </c>
      <c r="F53" s="541"/>
    </row>
    <row r="54" spans="1:10" ht="13">
      <c r="A54" s="366">
        <v>87</v>
      </c>
      <c r="B54" s="382">
        <f t="shared" si="4"/>
        <v>43</v>
      </c>
      <c r="C54" s="383" t="str">
        <f t="shared" ca="1" si="10"/>
        <v/>
      </c>
      <c r="D54" s="546" t="str">
        <f t="shared" ca="1" si="2"/>
        <v/>
      </c>
      <c r="E54" s="516">
        <f t="shared" ca="1" si="11"/>
        <v>0</v>
      </c>
      <c r="F54" s="541"/>
    </row>
    <row r="55" spans="1:10" ht="13">
      <c r="A55" s="366">
        <v>88</v>
      </c>
      <c r="B55" s="380">
        <f t="shared" si="4"/>
        <v>44</v>
      </c>
      <c r="C55" s="381" t="str">
        <f t="shared" ca="1" si="10"/>
        <v/>
      </c>
      <c r="D55" s="545" t="str">
        <f t="shared" ca="1" si="2"/>
        <v/>
      </c>
      <c r="E55" s="515">
        <f t="shared" ca="1" si="11"/>
        <v>0</v>
      </c>
      <c r="F55" s="541"/>
    </row>
    <row r="56" spans="1:10" ht="13">
      <c r="A56" s="366">
        <v>89</v>
      </c>
      <c r="B56" s="384">
        <f t="shared" si="4"/>
        <v>45</v>
      </c>
      <c r="C56" s="385" t="str">
        <f t="shared" ca="1" si="10"/>
        <v/>
      </c>
      <c r="D56" s="547" t="str">
        <f t="shared" ca="1" si="2"/>
        <v/>
      </c>
      <c r="E56" s="517">
        <f t="shared" ca="1" si="11"/>
        <v>0</v>
      </c>
      <c r="F56" s="541"/>
    </row>
    <row r="57" spans="1:10" ht="13">
      <c r="A57" s="366">
        <v>90</v>
      </c>
      <c r="B57" s="386">
        <f t="shared" si="4"/>
        <v>46</v>
      </c>
      <c r="C57" s="387" t="str">
        <f t="shared" ca="1" si="10"/>
        <v/>
      </c>
      <c r="D57" s="548" t="str">
        <f t="shared" ca="1" si="2"/>
        <v/>
      </c>
      <c r="E57" s="518">
        <f t="shared" ca="1" si="11"/>
        <v>0</v>
      </c>
      <c r="F57" s="541"/>
    </row>
    <row r="58" spans="1:10" ht="13">
      <c r="A58" s="366">
        <v>91</v>
      </c>
      <c r="B58" s="388">
        <f t="shared" si="4"/>
        <v>47</v>
      </c>
      <c r="C58" s="389" t="str">
        <f t="shared" ca="1" si="10"/>
        <v/>
      </c>
      <c r="D58" s="549" t="str">
        <f t="shared" ca="1" si="2"/>
        <v/>
      </c>
      <c r="E58" s="519">
        <f t="shared" ca="1" si="11"/>
        <v>0</v>
      </c>
      <c r="F58" s="541"/>
    </row>
    <row r="59" spans="1:10" ht="13">
      <c r="A59" s="366">
        <v>92</v>
      </c>
      <c r="B59" s="386">
        <f t="shared" si="4"/>
        <v>48</v>
      </c>
      <c r="C59" s="387" t="str">
        <f t="shared" ca="1" si="10"/>
        <v/>
      </c>
      <c r="D59" s="548" t="str">
        <f t="shared" ca="1" si="2"/>
        <v/>
      </c>
      <c r="E59" s="518">
        <f t="shared" ca="1" si="11"/>
        <v>0</v>
      </c>
      <c r="F59" s="541"/>
    </row>
    <row r="60" spans="1:10" ht="13">
      <c r="A60" s="366">
        <v>93</v>
      </c>
      <c r="B60" s="388">
        <f t="shared" si="4"/>
        <v>49</v>
      </c>
      <c r="C60" s="389" t="str">
        <f t="shared" ca="1" si="10"/>
        <v/>
      </c>
      <c r="D60" s="549" t="str">
        <f t="shared" ca="1" si="2"/>
        <v/>
      </c>
      <c r="E60" s="520">
        <f t="shared" ca="1" si="11"/>
        <v>0</v>
      </c>
      <c r="F60" s="541"/>
    </row>
    <row r="61" spans="1:10" ht="13">
      <c r="A61" s="366">
        <v>94</v>
      </c>
      <c r="B61" s="386">
        <f t="shared" si="4"/>
        <v>50</v>
      </c>
      <c r="C61" s="387" t="str">
        <f t="shared" ca="1" si="10"/>
        <v/>
      </c>
      <c r="D61" s="548" t="str">
        <f t="shared" ca="1" si="2"/>
        <v/>
      </c>
      <c r="E61" s="518">
        <f t="shared" ca="1" si="11"/>
        <v>0</v>
      </c>
      <c r="F61" s="541"/>
      <c r="I61" s="365"/>
      <c r="J61" s="365"/>
    </row>
    <row r="62" spans="1:10">
      <c r="A62" s="521">
        <v>27</v>
      </c>
      <c r="B62" s="388">
        <f t="shared" si="4"/>
        <v>51</v>
      </c>
      <c r="C62" s="390" t="str">
        <f t="shared" ca="1" si="10"/>
        <v/>
      </c>
      <c r="D62" s="550" t="str">
        <f t="shared" ca="1" si="2"/>
        <v/>
      </c>
      <c r="E62" s="522">
        <f t="shared" ca="1" si="11"/>
        <v>0</v>
      </c>
      <c r="F62" s="541"/>
    </row>
    <row r="63" spans="1:10" s="365" customFormat="1">
      <c r="A63" s="521">
        <v>26</v>
      </c>
      <c r="B63" s="386">
        <f t="shared" si="4"/>
        <v>52</v>
      </c>
      <c r="C63" s="391" t="str">
        <f t="shared" ca="1" si="10"/>
        <v/>
      </c>
      <c r="D63" s="551" t="str">
        <f t="shared" ca="1" si="2"/>
        <v/>
      </c>
      <c r="E63" s="523">
        <f t="shared" ca="1" si="11"/>
        <v>0</v>
      </c>
      <c r="F63" s="541"/>
      <c r="I63" s="353"/>
      <c r="J63" s="353"/>
    </row>
    <row r="64" spans="1:10" ht="13">
      <c r="A64" s="521">
        <v>95</v>
      </c>
      <c r="B64" s="388">
        <f t="shared" si="4"/>
        <v>53</v>
      </c>
      <c r="C64" s="389" t="str">
        <f t="shared" ca="1" si="10"/>
        <v/>
      </c>
      <c r="D64" s="549" t="str">
        <f t="shared" ca="1" si="2"/>
        <v/>
      </c>
      <c r="E64" s="519">
        <f t="shared" ca="1" si="11"/>
        <v>0</v>
      </c>
      <c r="F64" s="541"/>
    </row>
    <row r="65" spans="1:6" ht="13">
      <c r="A65" s="366">
        <v>98</v>
      </c>
      <c r="B65" s="386">
        <f t="shared" si="4"/>
        <v>54</v>
      </c>
      <c r="C65" s="387" t="str">
        <f t="shared" ca="1" si="10"/>
        <v/>
      </c>
      <c r="D65" s="548" t="str">
        <f t="shared" ca="1" si="2"/>
        <v/>
      </c>
      <c r="E65" s="518">
        <f t="shared" ca="1" si="11"/>
        <v>0</v>
      </c>
      <c r="F65" s="541"/>
    </row>
    <row r="66" spans="1:6" ht="13">
      <c r="A66" s="366">
        <f>A65+1</f>
        <v>99</v>
      </c>
      <c r="B66" s="388">
        <f t="shared" si="4"/>
        <v>55</v>
      </c>
      <c r="C66" s="389" t="str">
        <f t="shared" ca="1" si="10"/>
        <v/>
      </c>
      <c r="D66" s="549" t="str">
        <f t="shared" ca="1" si="2"/>
        <v/>
      </c>
      <c r="E66" s="519">
        <f t="shared" ca="1" si="11"/>
        <v>0</v>
      </c>
      <c r="F66" s="541"/>
    </row>
    <row r="67" spans="1:6" ht="13">
      <c r="A67" s="366">
        <f t="shared" ref="A67:A72" si="12">A66+1</f>
        <v>100</v>
      </c>
      <c r="B67" s="386">
        <f t="shared" si="4"/>
        <v>56</v>
      </c>
      <c r="C67" s="387" t="str">
        <f t="shared" ca="1" si="10"/>
        <v/>
      </c>
      <c r="D67" s="548" t="str">
        <f t="shared" ca="1" si="2"/>
        <v/>
      </c>
      <c r="E67" s="518">
        <f t="shared" ca="1" si="11"/>
        <v>0</v>
      </c>
      <c r="F67" s="541"/>
    </row>
    <row r="68" spans="1:6" ht="13">
      <c r="A68" s="366">
        <f t="shared" si="12"/>
        <v>101</v>
      </c>
      <c r="B68" s="392">
        <f t="shared" si="4"/>
        <v>57</v>
      </c>
      <c r="C68" s="393" t="str">
        <f t="shared" ca="1" si="10"/>
        <v/>
      </c>
      <c r="D68" s="552" t="str">
        <f t="shared" ca="1" si="2"/>
        <v/>
      </c>
      <c r="E68" s="524">
        <f t="shared" ca="1" si="11"/>
        <v>0</v>
      </c>
      <c r="F68" s="541"/>
    </row>
    <row r="69" spans="1:6" ht="13">
      <c r="A69" s="366">
        <f t="shared" si="12"/>
        <v>102</v>
      </c>
      <c r="B69" s="386">
        <f t="shared" si="4"/>
        <v>58</v>
      </c>
      <c r="C69" s="387" t="str">
        <f t="shared" ca="1" si="10"/>
        <v/>
      </c>
      <c r="D69" s="548" t="str">
        <f t="shared" ca="1" si="2"/>
        <v/>
      </c>
      <c r="E69" s="518">
        <f t="shared" ca="1" si="11"/>
        <v>0</v>
      </c>
      <c r="F69" s="541"/>
    </row>
    <row r="70" spans="1:6" ht="13">
      <c r="A70" s="366">
        <f t="shared" si="12"/>
        <v>103</v>
      </c>
      <c r="B70" s="388">
        <f t="shared" si="4"/>
        <v>59</v>
      </c>
      <c r="C70" s="389" t="str">
        <f t="shared" ca="1" si="10"/>
        <v/>
      </c>
      <c r="D70" s="549" t="str">
        <f t="shared" ca="1" si="2"/>
        <v/>
      </c>
      <c r="E70" s="519">
        <f t="shared" ca="1" si="11"/>
        <v>0</v>
      </c>
      <c r="F70" s="541"/>
    </row>
    <row r="71" spans="1:6" ht="13">
      <c r="A71" s="366">
        <f t="shared" si="12"/>
        <v>104</v>
      </c>
      <c r="B71" s="386">
        <f t="shared" si="4"/>
        <v>60</v>
      </c>
      <c r="C71" s="387" t="str">
        <f t="shared" ca="1" si="10"/>
        <v/>
      </c>
      <c r="D71" s="548" t="str">
        <f t="shared" ca="1" si="2"/>
        <v/>
      </c>
      <c r="E71" s="518">
        <f t="shared" ca="1" si="11"/>
        <v>0</v>
      </c>
      <c r="F71" s="541"/>
    </row>
    <row r="72" spans="1:6" ht="13">
      <c r="A72" s="366">
        <f t="shared" si="12"/>
        <v>105</v>
      </c>
      <c r="B72" s="392">
        <f t="shared" si="4"/>
        <v>61</v>
      </c>
      <c r="C72" s="393" t="str">
        <f t="shared" ca="1" si="10"/>
        <v/>
      </c>
      <c r="D72" s="552" t="str">
        <f t="shared" ca="1" si="2"/>
        <v/>
      </c>
      <c r="E72" s="524">
        <f t="shared" ca="1" si="11"/>
        <v>0</v>
      </c>
      <c r="F72" s="541"/>
    </row>
    <row r="73" spans="1:6">
      <c r="B73" s="525" t="str">
        <f ca="1">IF(LEN(CONCATENATE($C$36,$C$37))&gt;0,"*)","")</f>
        <v/>
      </c>
      <c r="C73" s="526" t="str">
        <f ca="1">IF(LEN(CONCATENATE($C$36,$C$37))&gt;0,"Taksten afhænger af alle løndele, der er direkte afhængige af beskæftigelsesgraden ("&amp;TEXT(D6,"0,0000")&amp;")","")</f>
        <v/>
      </c>
    </row>
    <row r="74" spans="1:6">
      <c r="B74" s="525" t="str">
        <f ca="1">IF(LEN(C53)&gt;0,"**)","")</f>
        <v/>
      </c>
      <c r="C74" s="526" t="str">
        <f ca="1">IF(LEN(C53)&gt;0,"(Der indbetales 18% af summen af de 'pensionsgivende løndele', der overstiger skalatrin "&amp;IF(LEFT(D10)="B",33,42)&amp;".)","")</f>
        <v/>
      </c>
    </row>
  </sheetData>
  <sheetProtection sheet="1" objects="1" scenarios="1" formatCells="0" formatColumns="0" formatRows="0"/>
  <phoneticPr fontId="10" type="noConversion"/>
  <printOptions horizontalCentered="1" verticalCentered="1"/>
  <pageMargins left="0.75000000000000011" right="0.75000000000000011" top="1" bottom="1" header="0.5" footer="0.5"/>
  <pageSetup paperSize="9" scale="72" orientation="portrait" horizontalDpi="4294967292" verticalDpi="4294967292"/>
  <extLst>
    <ext xmlns:mx="http://schemas.microsoft.com/office/mac/excel/2008/main" uri="{64002731-A6B0-56B0-2670-7721B7C09600}">
      <mx:PLV Mode="0"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tabSelected="1" workbookViewId="0">
      <pane xSplit="6" ySplit="2" topLeftCell="G3" activePane="bottomRight" state="frozen"/>
      <selection activeCell="G1" sqref="G1"/>
      <selection pane="topRight" activeCell="G1" sqref="G1"/>
      <selection pane="bottomLeft" activeCell="G1" sqref="G1"/>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292</v>
      </c>
      <c r="H1" s="79" t="str">
        <f>G1</f>
        <v>A</v>
      </c>
      <c r="I1" s="79" t="str">
        <f t="shared" ref="I1:R1" si="0">H1</f>
        <v>A</v>
      </c>
      <c r="J1" s="79" t="str">
        <f t="shared" si="0"/>
        <v>A</v>
      </c>
      <c r="K1" s="79" t="str">
        <f t="shared" si="0"/>
        <v>A</v>
      </c>
      <c r="L1" s="79" t="str">
        <f t="shared" si="0"/>
        <v>A</v>
      </c>
      <c r="M1" s="79" t="str">
        <f t="shared" si="0"/>
        <v>A</v>
      </c>
      <c r="N1" s="79" t="str">
        <f t="shared" si="0"/>
        <v>A</v>
      </c>
      <c r="O1" s="79" t="str">
        <f t="shared" si="0"/>
        <v>A</v>
      </c>
      <c r="P1" s="79" t="str">
        <f t="shared" si="0"/>
        <v>A</v>
      </c>
      <c r="Q1" s="79" t="str">
        <f t="shared" si="0"/>
        <v>A</v>
      </c>
      <c r="R1" s="79" t="str">
        <f t="shared" si="0"/>
        <v>A</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549</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ref="H17:R17" si="6">G17</f>
        <v>0</v>
      </c>
      <c r="I17" s="417">
        <f t="shared" si="6"/>
        <v>0</v>
      </c>
      <c r="J17" s="417">
        <f t="shared" si="6"/>
        <v>0</v>
      </c>
      <c r="K17" s="417">
        <f t="shared" si="6"/>
        <v>0</v>
      </c>
      <c r="L17" s="417">
        <f t="shared" si="6"/>
        <v>0</v>
      </c>
      <c r="M17" s="417">
        <f t="shared" si="6"/>
        <v>0</v>
      </c>
      <c r="N17" s="417">
        <f t="shared" si="6"/>
        <v>0</v>
      </c>
      <c r="O17" s="417">
        <f t="shared" si="6"/>
        <v>0</v>
      </c>
      <c r="P17" s="417">
        <f t="shared" si="6"/>
        <v>0</v>
      </c>
      <c r="Q17" s="417">
        <f t="shared" si="6"/>
        <v>0</v>
      </c>
      <c r="R17" s="417">
        <f t="shared" si="6"/>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c r="H19" s="256">
        <f>G19</f>
        <v>0</v>
      </c>
      <c r="I19" s="256">
        <f t="shared" si="5"/>
        <v>0</v>
      </c>
      <c r="J19" s="256">
        <f t="shared" si="5"/>
        <v>0</v>
      </c>
      <c r="K19" s="256">
        <f t="shared" si="5"/>
        <v>0</v>
      </c>
      <c r="L19" s="256">
        <f t="shared" si="5"/>
        <v>0</v>
      </c>
      <c r="M19" s="256">
        <f t="shared" si="5"/>
        <v>0</v>
      </c>
      <c r="N19" s="256">
        <f t="shared" si="5"/>
        <v>0</v>
      </c>
      <c r="O19" s="256">
        <f t="shared" si="5"/>
        <v>0</v>
      </c>
      <c r="P19" s="256">
        <f t="shared" si="5"/>
        <v>0</v>
      </c>
      <c r="Q19" s="256">
        <f t="shared" si="5"/>
        <v>0</v>
      </c>
      <c r="R19" s="256">
        <f t="shared" si="5"/>
        <v>0</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7">G23</f>
        <v>0</v>
      </c>
      <c r="I23" s="258">
        <f t="shared" si="7"/>
        <v>0</v>
      </c>
      <c r="J23" s="258">
        <f t="shared" si="7"/>
        <v>0</v>
      </c>
      <c r="K23" s="258">
        <f t="shared" si="7"/>
        <v>0</v>
      </c>
      <c r="L23" s="258">
        <f t="shared" si="7"/>
        <v>0</v>
      </c>
      <c r="M23" s="258">
        <f t="shared" si="7"/>
        <v>0</v>
      </c>
      <c r="N23" s="258">
        <f t="shared" si="7"/>
        <v>0</v>
      </c>
      <c r="O23" s="258">
        <f t="shared" si="7"/>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8">H26</f>
        <v>0</v>
      </c>
      <c r="J26" s="260">
        <f t="shared" si="8"/>
        <v>0</v>
      </c>
      <c r="K26" s="260">
        <f t="shared" si="8"/>
        <v>0</v>
      </c>
      <c r="L26" s="260">
        <f t="shared" si="8"/>
        <v>0</v>
      </c>
      <c r="M26" s="260">
        <f t="shared" si="8"/>
        <v>0</v>
      </c>
      <c r="N26" s="260">
        <f t="shared" si="8"/>
        <v>0</v>
      </c>
      <c r="O26" s="260">
        <f t="shared" si="8"/>
        <v>0</v>
      </c>
      <c r="P26" s="260">
        <f t="shared" si="8"/>
        <v>0</v>
      </c>
      <c r="Q26" s="260">
        <f t="shared" si="8"/>
        <v>0</v>
      </c>
      <c r="R26" s="260">
        <f t="shared" si="8"/>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8"/>
        <v>0</v>
      </c>
      <c r="J27" s="261">
        <f t="shared" si="8"/>
        <v>0</v>
      </c>
      <c r="K27" s="261">
        <f t="shared" si="8"/>
        <v>0</v>
      </c>
      <c r="L27" s="261">
        <f t="shared" si="8"/>
        <v>0</v>
      </c>
      <c r="M27" s="261">
        <f t="shared" si="8"/>
        <v>0</v>
      </c>
      <c r="N27" s="261">
        <f t="shared" si="8"/>
        <v>0</v>
      </c>
      <c r="O27" s="261">
        <f t="shared" si="8"/>
        <v>0</v>
      </c>
      <c r="P27" s="261">
        <f t="shared" si="8"/>
        <v>0</v>
      </c>
      <c r="Q27" s="261">
        <f t="shared" si="8"/>
        <v>0</v>
      </c>
      <c r="R27" s="261">
        <f t="shared" si="8"/>
        <v>0</v>
      </c>
      <c r="S27" s="148"/>
      <c r="T27" s="92"/>
      <c r="U27" s="92"/>
      <c r="V27" s="92"/>
      <c r="W27" s="92"/>
      <c r="X27" s="92"/>
      <c r="Y27" s="92"/>
    </row>
    <row r="28" spans="1:25" ht="12" customHeight="1">
      <c r="A28" s="438"/>
      <c r="B28" s="470">
        <f t="shared" si="1"/>
        <v>28</v>
      </c>
      <c r="C28" s="640"/>
      <c r="D28" s="594">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479">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9">G2</f>
        <v>AUG 14</v>
      </c>
      <c r="H44" s="78" t="str">
        <f t="shared" si="9"/>
        <v>SEP14</v>
      </c>
      <c r="I44" s="78" t="str">
        <f t="shared" si="9"/>
        <v>OKT 14</v>
      </c>
      <c r="J44" s="78" t="str">
        <f t="shared" si="9"/>
        <v>NOV 14</v>
      </c>
      <c r="K44" s="78" t="str">
        <f t="shared" si="9"/>
        <v>DEC 14</v>
      </c>
      <c r="L44" s="78" t="str">
        <f t="shared" si="9"/>
        <v>JAN 15</v>
      </c>
      <c r="M44" s="78" t="str">
        <f t="shared" si="9"/>
        <v>FEB 15</v>
      </c>
      <c r="N44" s="78" t="str">
        <f t="shared" si="9"/>
        <v>MAR 15</v>
      </c>
      <c r="O44" s="78" t="str">
        <f t="shared" si="9"/>
        <v>APR 15</v>
      </c>
      <c r="P44" s="78" t="str">
        <f t="shared" si="9"/>
        <v>MAJ15</v>
      </c>
      <c r="Q44" s="78" t="str">
        <f t="shared" si="9"/>
        <v>JUN 15</v>
      </c>
      <c r="R44" s="78" t="str">
        <f t="shared" si="9"/>
        <v>JUL 15</v>
      </c>
      <c r="S44" s="83" t="s">
        <v>122</v>
      </c>
      <c r="T44" s="92"/>
      <c r="U44" s="92"/>
      <c r="V44" s="92"/>
      <c r="W44" s="92"/>
      <c r="X44" s="92"/>
      <c r="Y44" s="92"/>
    </row>
    <row r="45" spans="1:25">
      <c r="A45" s="441"/>
      <c r="B45" s="128">
        <f t="shared" si="1"/>
        <v>45</v>
      </c>
      <c r="C45" s="465">
        <v>1</v>
      </c>
      <c r="D45" s="1">
        <v>1</v>
      </c>
      <c r="E45" s="1">
        <v>1</v>
      </c>
      <c r="F45" s="162" t="s">
        <v>94</v>
      </c>
      <c r="G45" s="108">
        <f t="shared" ref="G45:R45" si="10">ROUND(IF(G8&gt;0,ROUND((ROUND(VLOOKUP(G4,basistabel12,2,0)*G6,0))/12,2),0)*G8*G3,2)</f>
        <v>0</v>
      </c>
      <c r="H45" s="108">
        <f t="shared" si="10"/>
        <v>0</v>
      </c>
      <c r="I45" s="108">
        <f t="shared" si="10"/>
        <v>0</v>
      </c>
      <c r="J45" s="108">
        <f t="shared" si="10"/>
        <v>0</v>
      </c>
      <c r="K45" s="108">
        <f t="shared" si="10"/>
        <v>0</v>
      </c>
      <c r="L45" s="108">
        <f t="shared" si="10"/>
        <v>0</v>
      </c>
      <c r="M45" s="108">
        <f t="shared" si="10"/>
        <v>0</v>
      </c>
      <c r="N45" s="108">
        <f t="shared" si="10"/>
        <v>0</v>
      </c>
      <c r="O45" s="108">
        <f t="shared" si="10"/>
        <v>0</v>
      </c>
      <c r="P45" s="108">
        <f t="shared" si="10"/>
        <v>0</v>
      </c>
      <c r="Q45" s="108">
        <f t="shared" si="10"/>
        <v>0</v>
      </c>
      <c r="R45" s="108">
        <f t="shared" si="10"/>
        <v>0</v>
      </c>
      <c r="S45" s="122">
        <f t="shared" ref="S45:S89" si="11">SUM(G45:R45)</f>
        <v>0</v>
      </c>
      <c r="T45" s="92"/>
      <c r="U45" s="92"/>
      <c r="V45" s="92"/>
      <c r="W45" s="92"/>
      <c r="X45" s="92"/>
      <c r="Y45" s="92"/>
    </row>
    <row r="46" spans="1:25">
      <c r="A46" s="441"/>
      <c r="B46" s="23">
        <f>B45+1</f>
        <v>46</v>
      </c>
      <c r="C46" s="465"/>
      <c r="D46" s="1">
        <v>1</v>
      </c>
      <c r="E46" s="1">
        <v>0</v>
      </c>
      <c r="F46" s="163" t="s">
        <v>95</v>
      </c>
      <c r="G46" s="110">
        <f t="shared" ref="G46:R46" si="12">ROUND(IF(G8&gt;0,ROUND((VLOOKUP(G4,omraadetabel12,G7,0))/12,2),0)*G8*G3,2)</f>
        <v>0</v>
      </c>
      <c r="H46" s="110">
        <f t="shared" si="12"/>
        <v>0</v>
      </c>
      <c r="I46" s="110">
        <f t="shared" si="12"/>
        <v>0</v>
      </c>
      <c r="J46" s="110">
        <f t="shared" si="12"/>
        <v>0</v>
      </c>
      <c r="K46" s="110">
        <f t="shared" si="12"/>
        <v>0</v>
      </c>
      <c r="L46" s="110">
        <f t="shared" si="12"/>
        <v>0</v>
      </c>
      <c r="M46" s="110">
        <f t="shared" si="12"/>
        <v>0</v>
      </c>
      <c r="N46" s="110">
        <f t="shared" si="12"/>
        <v>0</v>
      </c>
      <c r="O46" s="110">
        <f t="shared" si="12"/>
        <v>0</v>
      </c>
      <c r="P46" s="110">
        <f t="shared" si="12"/>
        <v>0</v>
      </c>
      <c r="Q46" s="110">
        <f t="shared" si="12"/>
        <v>0</v>
      </c>
      <c r="R46" s="110">
        <f t="shared" si="12"/>
        <v>0</v>
      </c>
      <c r="S46" s="111">
        <f t="shared" si="11"/>
        <v>0</v>
      </c>
      <c r="T46" s="92"/>
      <c r="U46" s="92"/>
      <c r="V46" s="92"/>
      <c r="W46" s="92"/>
      <c r="X46" s="92"/>
      <c r="Y46" s="92"/>
    </row>
    <row r="47" spans="1:25">
      <c r="A47" s="441"/>
      <c r="B47" s="23">
        <f t="shared" ref="B47:B89" si="13">B46+1</f>
        <v>47</v>
      </c>
      <c r="C47" s="465">
        <v>1</v>
      </c>
      <c r="D47" s="1">
        <v>0</v>
      </c>
      <c r="E47" s="1">
        <v>1</v>
      </c>
      <c r="F47" s="163" t="s">
        <v>183</v>
      </c>
      <c r="G47" s="110">
        <f t="shared" ref="G47:R47" si="14">ROUND(SUM(G110:G113)*G3,2)</f>
        <v>0</v>
      </c>
      <c r="H47" s="110">
        <f t="shared" si="14"/>
        <v>0</v>
      </c>
      <c r="I47" s="110">
        <f t="shared" si="14"/>
        <v>0</v>
      </c>
      <c r="J47" s="110">
        <f t="shared" si="14"/>
        <v>0</v>
      </c>
      <c r="K47" s="110">
        <f t="shared" si="14"/>
        <v>0</v>
      </c>
      <c r="L47" s="110">
        <f t="shared" si="14"/>
        <v>0</v>
      </c>
      <c r="M47" s="110">
        <f t="shared" si="14"/>
        <v>0</v>
      </c>
      <c r="N47" s="110">
        <f t="shared" si="14"/>
        <v>0</v>
      </c>
      <c r="O47" s="110">
        <f t="shared" si="14"/>
        <v>0</v>
      </c>
      <c r="P47" s="110">
        <f t="shared" si="14"/>
        <v>0</v>
      </c>
      <c r="Q47" s="110">
        <f t="shared" si="14"/>
        <v>0</v>
      </c>
      <c r="R47" s="110">
        <f t="shared" si="14"/>
        <v>0</v>
      </c>
      <c r="S47" s="111">
        <f t="shared" si="11"/>
        <v>0</v>
      </c>
      <c r="T47" s="92"/>
      <c r="U47" s="92"/>
      <c r="V47" s="92"/>
      <c r="W47" s="92"/>
      <c r="X47" s="92"/>
      <c r="Y47" s="92"/>
    </row>
    <row r="48" spans="1:25">
      <c r="A48" s="441"/>
      <c r="B48" s="23">
        <f t="shared" si="13"/>
        <v>48</v>
      </c>
      <c r="C48" s="465">
        <v>1</v>
      </c>
      <c r="D48" s="1">
        <v>0</v>
      </c>
      <c r="E48" s="1">
        <v>1</v>
      </c>
      <c r="F48" s="163" t="s">
        <v>184</v>
      </c>
      <c r="G48" s="110">
        <f t="shared" ref="G48:R48" si="15">ROUND(G10*G$6*G3/12,2)</f>
        <v>0</v>
      </c>
      <c r="H48" s="110">
        <f t="shared" si="15"/>
        <v>0</v>
      </c>
      <c r="I48" s="110">
        <f t="shared" si="15"/>
        <v>0</v>
      </c>
      <c r="J48" s="110">
        <f t="shared" si="15"/>
        <v>0</v>
      </c>
      <c r="K48" s="110">
        <f t="shared" si="15"/>
        <v>0</v>
      </c>
      <c r="L48" s="110">
        <f t="shared" si="15"/>
        <v>0</v>
      </c>
      <c r="M48" s="110">
        <f t="shared" si="15"/>
        <v>0</v>
      </c>
      <c r="N48" s="110">
        <f t="shared" si="15"/>
        <v>0</v>
      </c>
      <c r="O48" s="110">
        <f t="shared" si="15"/>
        <v>0</v>
      </c>
      <c r="P48" s="110">
        <f t="shared" si="15"/>
        <v>0</v>
      </c>
      <c r="Q48" s="110">
        <f t="shared" si="15"/>
        <v>0</v>
      </c>
      <c r="R48" s="110">
        <f t="shared" si="15"/>
        <v>0</v>
      </c>
      <c r="S48" s="111">
        <f t="shared" si="11"/>
        <v>0</v>
      </c>
      <c r="T48" s="92"/>
      <c r="U48" s="92"/>
      <c r="V48" s="92"/>
      <c r="W48" s="92"/>
      <c r="X48" s="92"/>
      <c r="Y48" s="92"/>
    </row>
    <row r="49" spans="1:25">
      <c r="A49" s="441"/>
      <c r="B49" s="23">
        <f t="shared" si="13"/>
        <v>49</v>
      </c>
      <c r="C49" s="465">
        <f t="shared" ref="C49:E54" si="16">(C11&lt;&gt;"")*1</f>
        <v>1</v>
      </c>
      <c r="D49" s="465">
        <f t="shared" si="16"/>
        <v>0</v>
      </c>
      <c r="E49" s="465">
        <f t="shared" si="16"/>
        <v>1</v>
      </c>
      <c r="F49" s="163" t="s">
        <v>185</v>
      </c>
      <c r="G49" s="110">
        <f t="shared" ref="G49:G54" si="17">ROUND(G11*G$6*G$3*IF($D49&gt;0,G$8,1)/12,2)</f>
        <v>0</v>
      </c>
      <c r="H49" s="110">
        <f t="shared" ref="H49:R49" si="18">ROUND(H11*H$6*H$3*IF($D49&gt;0,H$8,1)/12,2)</f>
        <v>0</v>
      </c>
      <c r="I49" s="110">
        <f t="shared" si="18"/>
        <v>0</v>
      </c>
      <c r="J49" s="110">
        <f t="shared" si="18"/>
        <v>0</v>
      </c>
      <c r="K49" s="110">
        <f t="shared" si="18"/>
        <v>0</v>
      </c>
      <c r="L49" s="110">
        <f t="shared" si="18"/>
        <v>0</v>
      </c>
      <c r="M49" s="110">
        <f t="shared" si="18"/>
        <v>0</v>
      </c>
      <c r="N49" s="110">
        <f t="shared" si="18"/>
        <v>0</v>
      </c>
      <c r="O49" s="110">
        <f t="shared" si="18"/>
        <v>0</v>
      </c>
      <c r="P49" s="110">
        <f t="shared" si="18"/>
        <v>0</v>
      </c>
      <c r="Q49" s="110">
        <f t="shared" si="18"/>
        <v>0</v>
      </c>
      <c r="R49" s="110">
        <f t="shared" si="18"/>
        <v>0</v>
      </c>
      <c r="S49" s="111">
        <f t="shared" si="11"/>
        <v>0</v>
      </c>
      <c r="T49" s="92"/>
      <c r="U49" s="92"/>
      <c r="V49" s="92"/>
      <c r="W49" s="92"/>
      <c r="X49" s="92"/>
      <c r="Y49" s="92"/>
    </row>
    <row r="50" spans="1:25">
      <c r="A50" s="441"/>
      <c r="B50" s="23">
        <f t="shared" si="13"/>
        <v>50</v>
      </c>
      <c r="C50" s="465">
        <f t="shared" si="16"/>
        <v>1</v>
      </c>
      <c r="D50" s="465">
        <f t="shared" si="16"/>
        <v>0</v>
      </c>
      <c r="E50" s="465">
        <f t="shared" si="16"/>
        <v>1</v>
      </c>
      <c r="F50" s="163" t="s">
        <v>186</v>
      </c>
      <c r="G50" s="110">
        <f t="shared" si="17"/>
        <v>0</v>
      </c>
      <c r="H50" s="110">
        <f t="shared" ref="H50:R50" si="19">ROUND(H12*H$6*H$3*IF($D50&gt;0,H$8,1)/12,2)</f>
        <v>0</v>
      </c>
      <c r="I50" s="110">
        <f t="shared" si="19"/>
        <v>0</v>
      </c>
      <c r="J50" s="110">
        <f t="shared" si="19"/>
        <v>0</v>
      </c>
      <c r="K50" s="110">
        <f t="shared" si="19"/>
        <v>0</v>
      </c>
      <c r="L50" s="110">
        <f t="shared" si="19"/>
        <v>0</v>
      </c>
      <c r="M50" s="110">
        <f t="shared" si="19"/>
        <v>0</v>
      </c>
      <c r="N50" s="110">
        <f t="shared" si="19"/>
        <v>0</v>
      </c>
      <c r="O50" s="110">
        <f t="shared" si="19"/>
        <v>0</v>
      </c>
      <c r="P50" s="110">
        <f t="shared" si="19"/>
        <v>0</v>
      </c>
      <c r="Q50" s="110">
        <f t="shared" si="19"/>
        <v>0</v>
      </c>
      <c r="R50" s="110">
        <f t="shared" si="19"/>
        <v>0</v>
      </c>
      <c r="S50" s="111">
        <f t="shared" si="11"/>
        <v>0</v>
      </c>
      <c r="T50" s="92"/>
      <c r="U50" s="92"/>
      <c r="V50" s="92"/>
      <c r="W50" s="92"/>
      <c r="X50" s="92"/>
      <c r="Y50" s="92"/>
    </row>
    <row r="51" spans="1:25">
      <c r="A51" s="441"/>
      <c r="B51" s="23">
        <f t="shared" si="13"/>
        <v>51</v>
      </c>
      <c r="C51" s="465">
        <f t="shared" si="16"/>
        <v>1</v>
      </c>
      <c r="D51" s="465">
        <f t="shared" si="16"/>
        <v>0</v>
      </c>
      <c r="E51" s="465">
        <f t="shared" si="16"/>
        <v>1</v>
      </c>
      <c r="F51" s="163" t="s">
        <v>187</v>
      </c>
      <c r="G51" s="110">
        <f t="shared" si="17"/>
        <v>0</v>
      </c>
      <c r="H51" s="110">
        <f t="shared" ref="H51:R51" si="20">ROUND(H13*H$6*H$3*IF($D51&gt;0,H$8,1)/12,2)</f>
        <v>0</v>
      </c>
      <c r="I51" s="110">
        <f t="shared" si="20"/>
        <v>0</v>
      </c>
      <c r="J51" s="110">
        <f t="shared" si="20"/>
        <v>0</v>
      </c>
      <c r="K51" s="110">
        <f t="shared" si="20"/>
        <v>0</v>
      </c>
      <c r="L51" s="110">
        <f t="shared" si="20"/>
        <v>0</v>
      </c>
      <c r="M51" s="110">
        <f t="shared" si="20"/>
        <v>0</v>
      </c>
      <c r="N51" s="110">
        <f t="shared" si="20"/>
        <v>0</v>
      </c>
      <c r="O51" s="110">
        <f t="shared" si="20"/>
        <v>0</v>
      </c>
      <c r="P51" s="110">
        <f t="shared" si="20"/>
        <v>0</v>
      </c>
      <c r="Q51" s="110">
        <f t="shared" si="20"/>
        <v>0</v>
      </c>
      <c r="R51" s="110">
        <f t="shared" si="20"/>
        <v>0</v>
      </c>
      <c r="S51" s="111">
        <f t="shared" si="11"/>
        <v>0</v>
      </c>
      <c r="T51" s="92"/>
      <c r="U51" s="92"/>
      <c r="V51" s="92"/>
      <c r="W51" s="92"/>
      <c r="X51" s="92"/>
      <c r="Y51" s="92"/>
    </row>
    <row r="52" spans="1:25">
      <c r="A52" s="441"/>
      <c r="B52" s="23">
        <f t="shared" si="13"/>
        <v>52</v>
      </c>
      <c r="C52" s="465">
        <f t="shared" si="16"/>
        <v>1</v>
      </c>
      <c r="D52" s="465">
        <f t="shared" si="16"/>
        <v>1</v>
      </c>
      <c r="E52" s="465">
        <f t="shared" si="16"/>
        <v>1</v>
      </c>
      <c r="F52" s="163" t="s">
        <v>188</v>
      </c>
      <c r="G52" s="110">
        <f t="shared" si="17"/>
        <v>0</v>
      </c>
      <c r="H52" s="110">
        <f t="shared" ref="H52:R52" si="21">ROUND(H14*H$6*H$3*IF($D52&gt;0,H$8,1)/12,2)</f>
        <v>0</v>
      </c>
      <c r="I52" s="110">
        <f t="shared" si="21"/>
        <v>0</v>
      </c>
      <c r="J52" s="110">
        <f t="shared" si="21"/>
        <v>0</v>
      </c>
      <c r="K52" s="110">
        <f t="shared" si="21"/>
        <v>0</v>
      </c>
      <c r="L52" s="110">
        <f t="shared" si="21"/>
        <v>0</v>
      </c>
      <c r="M52" s="110">
        <f t="shared" si="21"/>
        <v>0</v>
      </c>
      <c r="N52" s="110">
        <f t="shared" si="21"/>
        <v>0</v>
      </c>
      <c r="O52" s="110">
        <f t="shared" si="21"/>
        <v>0</v>
      </c>
      <c r="P52" s="110">
        <f t="shared" si="21"/>
        <v>0</v>
      </c>
      <c r="Q52" s="110">
        <f t="shared" si="21"/>
        <v>0</v>
      </c>
      <c r="R52" s="110">
        <f t="shared" si="21"/>
        <v>0</v>
      </c>
      <c r="S52" s="111">
        <f t="shared" si="11"/>
        <v>0</v>
      </c>
      <c r="T52" s="92"/>
      <c r="U52" s="92"/>
      <c r="V52" s="92"/>
      <c r="W52" s="92"/>
      <c r="X52" s="92"/>
      <c r="Y52" s="92"/>
    </row>
    <row r="53" spans="1:25">
      <c r="A53" s="441"/>
      <c r="B53" s="23">
        <f t="shared" si="13"/>
        <v>53</v>
      </c>
      <c r="C53" s="465">
        <f t="shared" si="16"/>
        <v>1</v>
      </c>
      <c r="D53" s="465">
        <f t="shared" si="16"/>
        <v>0</v>
      </c>
      <c r="E53" s="465">
        <f t="shared" si="16"/>
        <v>1</v>
      </c>
      <c r="F53" s="163" t="s">
        <v>189</v>
      </c>
      <c r="G53" s="110">
        <f t="shared" si="17"/>
        <v>0</v>
      </c>
      <c r="H53" s="110">
        <f t="shared" ref="H53:R53" si="22">ROUND(H15*H$6*H$3*IF($D53&gt;0,H$8,1)/12,2)</f>
        <v>0</v>
      </c>
      <c r="I53" s="110">
        <f t="shared" si="22"/>
        <v>0</v>
      </c>
      <c r="J53" s="110">
        <f t="shared" si="22"/>
        <v>0</v>
      </c>
      <c r="K53" s="110">
        <f t="shared" si="22"/>
        <v>0</v>
      </c>
      <c r="L53" s="110">
        <f t="shared" si="22"/>
        <v>0</v>
      </c>
      <c r="M53" s="110">
        <f t="shared" si="22"/>
        <v>0</v>
      </c>
      <c r="N53" s="110">
        <f t="shared" si="22"/>
        <v>0</v>
      </c>
      <c r="O53" s="110">
        <f t="shared" si="22"/>
        <v>0</v>
      </c>
      <c r="P53" s="110">
        <f t="shared" si="22"/>
        <v>0</v>
      </c>
      <c r="Q53" s="110">
        <f t="shared" si="22"/>
        <v>0</v>
      </c>
      <c r="R53" s="110">
        <f t="shared" si="22"/>
        <v>0</v>
      </c>
      <c r="S53" s="111">
        <f t="shared" si="11"/>
        <v>0</v>
      </c>
      <c r="T53" s="92"/>
      <c r="U53" s="92"/>
      <c r="V53" s="92"/>
      <c r="W53" s="92"/>
      <c r="X53" s="92"/>
      <c r="Y53" s="92"/>
    </row>
    <row r="54" spans="1:25">
      <c r="A54" s="441"/>
      <c r="B54" s="23">
        <f t="shared" si="13"/>
        <v>54</v>
      </c>
      <c r="C54" s="465">
        <f t="shared" si="16"/>
        <v>1</v>
      </c>
      <c r="D54" s="465">
        <f t="shared" si="16"/>
        <v>0</v>
      </c>
      <c r="E54" s="465">
        <f t="shared" si="16"/>
        <v>1</v>
      </c>
      <c r="F54" s="163" t="s">
        <v>190</v>
      </c>
      <c r="G54" s="110">
        <f t="shared" si="17"/>
        <v>0</v>
      </c>
      <c r="H54" s="110">
        <f t="shared" ref="H54:R54" si="23">ROUND(H16*H$6*H$3*IF($D54&gt;0,H$8,1)/12,2)</f>
        <v>0</v>
      </c>
      <c r="I54" s="110">
        <f t="shared" si="23"/>
        <v>0</v>
      </c>
      <c r="J54" s="110">
        <f t="shared" si="23"/>
        <v>0</v>
      </c>
      <c r="K54" s="110">
        <f t="shared" si="23"/>
        <v>0</v>
      </c>
      <c r="L54" s="110">
        <f t="shared" si="23"/>
        <v>0</v>
      </c>
      <c r="M54" s="110">
        <f t="shared" si="23"/>
        <v>0</v>
      </c>
      <c r="N54" s="110">
        <f t="shared" si="23"/>
        <v>0</v>
      </c>
      <c r="O54" s="110">
        <f t="shared" si="23"/>
        <v>0</v>
      </c>
      <c r="P54" s="110">
        <f t="shared" si="23"/>
        <v>0</v>
      </c>
      <c r="Q54" s="110">
        <f t="shared" si="23"/>
        <v>0</v>
      </c>
      <c r="R54" s="110">
        <f t="shared" si="23"/>
        <v>0</v>
      </c>
      <c r="S54" s="111">
        <f t="shared" si="11"/>
        <v>0</v>
      </c>
      <c r="T54" s="92"/>
      <c r="U54" s="92"/>
      <c r="V54" s="92"/>
      <c r="W54" s="92"/>
      <c r="X54" s="92"/>
      <c r="Y54" s="92"/>
    </row>
    <row r="55" spans="1:25">
      <c r="A55" s="441"/>
      <c r="B55" s="23">
        <f t="shared" si="13"/>
        <v>55</v>
      </c>
      <c r="C55" s="465">
        <v>1</v>
      </c>
      <c r="D55" s="1">
        <v>1</v>
      </c>
      <c r="E55" s="1">
        <v>1</v>
      </c>
      <c r="F55" s="163" t="s">
        <v>367</v>
      </c>
      <c r="G55" s="110">
        <f>ROUND(G17*G$6*G$8/12*G3,2)</f>
        <v>0</v>
      </c>
      <c r="H55" s="110">
        <f t="shared" ref="H55:R55" si="24">ROUND(H17*H$6*H$8/12*H3,2)</f>
        <v>0</v>
      </c>
      <c r="I55" s="110">
        <f t="shared" si="24"/>
        <v>0</v>
      </c>
      <c r="J55" s="110">
        <f t="shared" si="24"/>
        <v>0</v>
      </c>
      <c r="K55" s="110">
        <f t="shared" si="24"/>
        <v>0</v>
      </c>
      <c r="L55" s="110">
        <f t="shared" si="24"/>
        <v>0</v>
      </c>
      <c r="M55" s="110">
        <f t="shared" si="24"/>
        <v>0</v>
      </c>
      <c r="N55" s="110">
        <f t="shared" si="24"/>
        <v>0</v>
      </c>
      <c r="O55" s="110">
        <f t="shared" si="24"/>
        <v>0</v>
      </c>
      <c r="P55" s="110">
        <f t="shared" si="24"/>
        <v>0</v>
      </c>
      <c r="Q55" s="110">
        <f t="shared" si="24"/>
        <v>0</v>
      </c>
      <c r="R55" s="110">
        <f t="shared" si="24"/>
        <v>0</v>
      </c>
      <c r="S55" s="111">
        <f t="shared" si="11"/>
        <v>0</v>
      </c>
      <c r="T55" s="92"/>
      <c r="U55" s="92"/>
      <c r="V55" s="92"/>
      <c r="W55" s="92"/>
      <c r="X55" s="92"/>
      <c r="Y55" s="92"/>
    </row>
    <row r="56" spans="1:25">
      <c r="A56" s="441"/>
      <c r="B56" s="23">
        <f t="shared" si="13"/>
        <v>56</v>
      </c>
      <c r="C56" s="465">
        <v>1</v>
      </c>
      <c r="D56" s="1">
        <v>1</v>
      </c>
      <c r="E56" s="1">
        <v>1</v>
      </c>
      <c r="F56" s="163" t="s">
        <v>125</v>
      </c>
      <c r="G56" s="110">
        <f>ROUND(G18*G$6*G$8/12*G3,2)</f>
        <v>0</v>
      </c>
      <c r="H56" s="110">
        <f t="shared" ref="H56:R56" si="25">ROUND(H18*H$6*H$8/12*H3,2)</f>
        <v>0</v>
      </c>
      <c r="I56" s="110">
        <f t="shared" si="25"/>
        <v>0</v>
      </c>
      <c r="J56" s="110">
        <f t="shared" si="25"/>
        <v>0</v>
      </c>
      <c r="K56" s="110">
        <f t="shared" si="25"/>
        <v>0</v>
      </c>
      <c r="L56" s="110">
        <f t="shared" si="25"/>
        <v>0</v>
      </c>
      <c r="M56" s="110">
        <f t="shared" si="25"/>
        <v>0</v>
      </c>
      <c r="N56" s="110">
        <f t="shared" si="25"/>
        <v>0</v>
      </c>
      <c r="O56" s="110">
        <f t="shared" si="25"/>
        <v>0</v>
      </c>
      <c r="P56" s="110">
        <f t="shared" si="25"/>
        <v>0</v>
      </c>
      <c r="Q56" s="110">
        <f t="shared" si="25"/>
        <v>0</v>
      </c>
      <c r="R56" s="110">
        <f t="shared" si="25"/>
        <v>0</v>
      </c>
      <c r="S56" s="111">
        <f t="shared" si="11"/>
        <v>0</v>
      </c>
      <c r="T56" s="92"/>
      <c r="U56" s="92"/>
      <c r="V56" s="92"/>
      <c r="W56" s="92"/>
      <c r="X56" s="92"/>
      <c r="Y56" s="92"/>
    </row>
    <row r="57" spans="1:25">
      <c r="A57" s="441"/>
      <c r="B57" s="23">
        <f t="shared" si="13"/>
        <v>57</v>
      </c>
      <c r="C57" s="465"/>
      <c r="D57" s="1">
        <v>1</v>
      </c>
      <c r="E57" s="1">
        <v>1</v>
      </c>
      <c r="F57" s="163" t="s">
        <v>401</v>
      </c>
      <c r="G57" s="110">
        <f>ROUND((IF(RIGHT(G4)="1",5200)+IF(OR(RIGHT(G4)="2",RIGHT(G4)="3"),7900))*G6/12*G8*G3,2)</f>
        <v>0</v>
      </c>
      <c r="H57" s="110">
        <f t="shared" ref="H57:R57" si="26">ROUND((IF(RIGHT(H4)="1",5200)+IF(OR(RIGHT(H4)="2",RIGHT(H4)="3"),7900))*H6/12*H8*H3,2)</f>
        <v>0</v>
      </c>
      <c r="I57" s="110">
        <f t="shared" si="26"/>
        <v>0</v>
      </c>
      <c r="J57" s="110">
        <f t="shared" si="26"/>
        <v>0</v>
      </c>
      <c r="K57" s="110">
        <f t="shared" si="26"/>
        <v>0</v>
      </c>
      <c r="L57" s="110">
        <f t="shared" si="26"/>
        <v>0</v>
      </c>
      <c r="M57" s="110">
        <f t="shared" si="26"/>
        <v>0</v>
      </c>
      <c r="N57" s="110">
        <f t="shared" si="26"/>
        <v>0</v>
      </c>
      <c r="O57" s="110">
        <f t="shared" si="26"/>
        <v>0</v>
      </c>
      <c r="P57" s="110">
        <f t="shared" si="26"/>
        <v>0</v>
      </c>
      <c r="Q57" s="110">
        <f t="shared" si="26"/>
        <v>0</v>
      </c>
      <c r="R57" s="110">
        <f t="shared" si="26"/>
        <v>0</v>
      </c>
      <c r="S57" s="111">
        <f t="shared" si="11"/>
        <v>0</v>
      </c>
      <c r="T57" s="92"/>
      <c r="U57" s="92"/>
      <c r="V57" s="92"/>
      <c r="W57" s="92"/>
      <c r="X57" s="92"/>
      <c r="Y57" s="92"/>
    </row>
    <row r="58" spans="1:25">
      <c r="A58" s="441"/>
      <c r="B58" s="23">
        <f t="shared" si="13"/>
        <v>58</v>
      </c>
      <c r="C58" s="465">
        <v>1</v>
      </c>
      <c r="D58" s="1">
        <v>1</v>
      </c>
      <c r="E58" s="1">
        <v>1</v>
      </c>
      <c r="F58" s="163" t="s">
        <v>376</v>
      </c>
      <c r="G58" s="110">
        <f>ROUND(2800*G$6*G$8*G3/12,2)</f>
        <v>0</v>
      </c>
      <c r="H58" s="110">
        <f t="shared" ref="H58:R58" si="27">ROUND(2800*H$6*H$8*H3/12,2)</f>
        <v>0</v>
      </c>
      <c r="I58" s="110">
        <f t="shared" si="27"/>
        <v>0</v>
      </c>
      <c r="J58" s="110">
        <f t="shared" si="27"/>
        <v>0</v>
      </c>
      <c r="K58" s="110">
        <f t="shared" si="27"/>
        <v>0</v>
      </c>
      <c r="L58" s="110">
        <f t="shared" si="27"/>
        <v>0</v>
      </c>
      <c r="M58" s="110">
        <f t="shared" si="27"/>
        <v>0</v>
      </c>
      <c r="N58" s="110">
        <f t="shared" si="27"/>
        <v>0</v>
      </c>
      <c r="O58" s="110">
        <f t="shared" si="27"/>
        <v>0</v>
      </c>
      <c r="P58" s="110">
        <f t="shared" si="27"/>
        <v>0</v>
      </c>
      <c r="Q58" s="110">
        <f t="shared" si="27"/>
        <v>0</v>
      </c>
      <c r="R58" s="110">
        <f t="shared" si="27"/>
        <v>0</v>
      </c>
      <c r="S58" s="111">
        <f t="shared" si="11"/>
        <v>0</v>
      </c>
      <c r="T58" s="92"/>
      <c r="U58" s="92"/>
      <c r="V58" s="92"/>
      <c r="W58" s="92"/>
      <c r="X58" s="92"/>
      <c r="Y58" s="92"/>
    </row>
    <row r="59" spans="1:25">
      <c r="A59" s="441"/>
      <c r="B59" s="23">
        <f t="shared" si="13"/>
        <v>59</v>
      </c>
      <c r="C59" s="468"/>
      <c r="D59" s="469"/>
      <c r="E59" s="469"/>
      <c r="F59" s="163" t="s">
        <v>191</v>
      </c>
      <c r="G59" s="110">
        <f>IF(G$45&gt;0,ROUND(IF(G$8&gt;=0.5,708*G$6,354*G$6)/12*G$3,2),0)</f>
        <v>0</v>
      </c>
      <c r="H59" s="110">
        <f t="shared" ref="H59:R59" si="28">IF(H$45&gt;0,ROUND(IF(H$8&gt;=0.5,708*H$6,354*H$6)/12*H$3,2),0)</f>
        <v>0</v>
      </c>
      <c r="I59" s="110">
        <f t="shared" si="28"/>
        <v>0</v>
      </c>
      <c r="J59" s="110">
        <f t="shared" si="28"/>
        <v>0</v>
      </c>
      <c r="K59" s="110">
        <f t="shared" si="28"/>
        <v>0</v>
      </c>
      <c r="L59" s="110">
        <f t="shared" si="28"/>
        <v>0</v>
      </c>
      <c r="M59" s="110">
        <f t="shared" si="28"/>
        <v>0</v>
      </c>
      <c r="N59" s="110">
        <f t="shared" si="28"/>
        <v>0</v>
      </c>
      <c r="O59" s="110">
        <f t="shared" si="28"/>
        <v>0</v>
      </c>
      <c r="P59" s="110">
        <f t="shared" si="28"/>
        <v>0</v>
      </c>
      <c r="Q59" s="110">
        <f t="shared" si="28"/>
        <v>0</v>
      </c>
      <c r="R59" s="110">
        <f t="shared" si="28"/>
        <v>0</v>
      </c>
      <c r="S59" s="111">
        <f t="shared" si="11"/>
        <v>0</v>
      </c>
      <c r="T59" s="92"/>
      <c r="U59" s="92"/>
      <c r="V59" s="92"/>
      <c r="W59" s="92"/>
      <c r="X59" s="92"/>
      <c r="Y59" s="92"/>
    </row>
    <row r="60" spans="1:25">
      <c r="A60" s="441"/>
      <c r="B60" s="23">
        <f t="shared" si="13"/>
        <v>60</v>
      </c>
      <c r="C60" s="468"/>
      <c r="D60" s="465">
        <f>(D20&lt;&gt;"")*1</f>
        <v>1</v>
      </c>
      <c r="E60" s="465">
        <f>(E20&lt;&gt;"")*1</f>
        <v>1</v>
      </c>
      <c r="F60" s="163" t="s">
        <v>171</v>
      </c>
      <c r="G60" s="110">
        <f>G$20*IF($D60&gt;0,G$8,1)*IF($E60&gt;0,G$6,1)*$G3</f>
        <v>0</v>
      </c>
      <c r="H60" s="110">
        <f t="shared" ref="H60:R60" si="29">H20*IF($D60&gt;0,H$8,1)*IF($E60&gt;0,H$6,1)*H3</f>
        <v>0</v>
      </c>
      <c r="I60" s="110">
        <f t="shared" si="29"/>
        <v>0</v>
      </c>
      <c r="J60" s="110">
        <f t="shared" si="29"/>
        <v>0</v>
      </c>
      <c r="K60" s="110">
        <f t="shared" si="29"/>
        <v>0</v>
      </c>
      <c r="L60" s="110">
        <f t="shared" si="29"/>
        <v>0</v>
      </c>
      <c r="M60" s="110">
        <f t="shared" si="29"/>
        <v>0</v>
      </c>
      <c r="N60" s="110">
        <f t="shared" si="29"/>
        <v>0</v>
      </c>
      <c r="O60" s="110">
        <f t="shared" si="29"/>
        <v>0</v>
      </c>
      <c r="P60" s="110">
        <f t="shared" si="29"/>
        <v>0</v>
      </c>
      <c r="Q60" s="110">
        <f t="shared" si="29"/>
        <v>0</v>
      </c>
      <c r="R60" s="110">
        <f t="shared" si="29"/>
        <v>0</v>
      </c>
      <c r="S60" s="111">
        <f t="shared" si="11"/>
        <v>0</v>
      </c>
      <c r="T60" s="92"/>
      <c r="U60" s="92"/>
      <c r="V60" s="92"/>
      <c r="W60" s="92"/>
      <c r="X60" s="92"/>
      <c r="Y60" s="92"/>
    </row>
    <row r="61" spans="1:25">
      <c r="A61" s="441"/>
      <c r="B61" s="23">
        <f t="shared" si="13"/>
        <v>61</v>
      </c>
      <c r="C61" s="468"/>
      <c r="D61" s="469"/>
      <c r="E61" s="469"/>
      <c r="F61" s="163" t="s">
        <v>172</v>
      </c>
      <c r="G61" s="216">
        <f t="shared" ref="G61:R61" si="30">IF(G8&gt;0,108.35*G3,0)</f>
        <v>0</v>
      </c>
      <c r="H61" s="216">
        <f t="shared" si="30"/>
        <v>0</v>
      </c>
      <c r="I61" s="216">
        <f t="shared" si="30"/>
        <v>0</v>
      </c>
      <c r="J61" s="216">
        <f t="shared" si="30"/>
        <v>0</v>
      </c>
      <c r="K61" s="216">
        <f t="shared" si="30"/>
        <v>0</v>
      </c>
      <c r="L61" s="216">
        <f t="shared" si="30"/>
        <v>0</v>
      </c>
      <c r="M61" s="216">
        <f t="shared" si="30"/>
        <v>0</v>
      </c>
      <c r="N61" s="216">
        <f t="shared" si="30"/>
        <v>0</v>
      </c>
      <c r="O61" s="216">
        <f t="shared" si="30"/>
        <v>0</v>
      </c>
      <c r="P61" s="216">
        <f t="shared" si="30"/>
        <v>0</v>
      </c>
      <c r="Q61" s="216">
        <f t="shared" si="30"/>
        <v>0</v>
      </c>
      <c r="R61" s="216">
        <f t="shared" si="30"/>
        <v>0</v>
      </c>
      <c r="S61" s="111">
        <f t="shared" si="11"/>
        <v>0</v>
      </c>
      <c r="T61" s="92"/>
      <c r="U61" s="92"/>
      <c r="V61" s="92"/>
      <c r="W61" s="92"/>
      <c r="X61" s="92"/>
      <c r="Y61" s="92"/>
    </row>
    <row r="62" spans="1:25">
      <c r="A62" s="441"/>
      <c r="B62" s="23">
        <f t="shared" si="13"/>
        <v>62</v>
      </c>
      <c r="C62" s="468"/>
      <c r="D62" s="469"/>
      <c r="E62" s="469"/>
      <c r="F62" s="163" t="s">
        <v>266</v>
      </c>
      <c r="G62" s="216">
        <f>-(MAX(0,MIN(G$21,G$22*1))+G$25)*4.62%*SUM(G$45:G$61)</f>
        <v>0</v>
      </c>
      <c r="H62" s="216">
        <f t="shared" ref="H62:R62" si="31">-(MAX(0,MIN(H$21,H$22*1))+H$25)*4.62%*SUM(H$45:H$61)</f>
        <v>0</v>
      </c>
      <c r="I62" s="216">
        <f t="shared" si="31"/>
        <v>0</v>
      </c>
      <c r="J62" s="216">
        <f t="shared" si="31"/>
        <v>0</v>
      </c>
      <c r="K62" s="216">
        <f t="shared" si="31"/>
        <v>0</v>
      </c>
      <c r="L62" s="216">
        <f t="shared" si="31"/>
        <v>0</v>
      </c>
      <c r="M62" s="216">
        <f t="shared" si="31"/>
        <v>0</v>
      </c>
      <c r="N62" s="216">
        <f t="shared" si="31"/>
        <v>0</v>
      </c>
      <c r="O62" s="216">
        <f t="shared" si="31"/>
        <v>0</v>
      </c>
      <c r="P62" s="216">
        <f t="shared" si="31"/>
        <v>0</v>
      </c>
      <c r="Q62" s="216">
        <f t="shared" si="31"/>
        <v>0</v>
      </c>
      <c r="R62" s="216">
        <f t="shared" si="31"/>
        <v>0</v>
      </c>
      <c r="S62" s="111">
        <f t="shared" si="11"/>
        <v>0</v>
      </c>
      <c r="T62" s="92"/>
      <c r="U62" s="92"/>
      <c r="V62" s="92"/>
      <c r="W62" s="92"/>
      <c r="X62" s="92"/>
      <c r="Y62" s="92"/>
    </row>
    <row r="63" spans="1:25">
      <c r="A63" s="441"/>
      <c r="B63" s="23">
        <f t="shared" si="13"/>
        <v>63</v>
      </c>
      <c r="C63" s="468"/>
      <c r="D63" s="469"/>
      <c r="E63" s="469"/>
      <c r="F63" s="491" t="s">
        <v>205</v>
      </c>
      <c r="G63" s="492">
        <f>(G$21-G$22)*4.62%*(G$23-G$8)*(G$3=1)*IF(G$8&gt;0,(G$45+G$46+G49*($D49&gt;0)+G50*($D50&gt;0)+G51*($D51&gt;0)+G52*($D52&gt;0)+G53*($D53&gt;0)+G54*($D54&gt;0)+G$55+G$56+G$57+G$58)/G$8,0)*(G$23&gt;0)</f>
        <v>0</v>
      </c>
      <c r="H63" s="492">
        <f t="shared" ref="H63:O63" si="32">(H$21-H$22)*4.62%*(H$23-H$8)*(H$3=1)*IF(H$8&gt;0,(H$45+H$46+H49*($D49&gt;0)+H50*($D50&gt;0)+H51*($D51&gt;0)+H52*($D52&gt;0)+H53*($D53&gt;0)+H54*($D54&gt;0)+H$55+H$56+H$57+H$58)/H$8,0)*(H$23&gt;0)</f>
        <v>0</v>
      </c>
      <c r="I63" s="492">
        <f t="shared" si="32"/>
        <v>0</v>
      </c>
      <c r="J63" s="492">
        <f t="shared" si="32"/>
        <v>0</v>
      </c>
      <c r="K63" s="492">
        <f t="shared" si="32"/>
        <v>0</v>
      </c>
      <c r="L63" s="492">
        <f t="shared" si="32"/>
        <v>0</v>
      </c>
      <c r="M63" s="492">
        <f t="shared" si="32"/>
        <v>0</v>
      </c>
      <c r="N63" s="492">
        <f t="shared" si="32"/>
        <v>0</v>
      </c>
      <c r="O63" s="492">
        <f t="shared" si="32"/>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1"/>
        <v>0</v>
      </c>
      <c r="T63" s="92"/>
      <c r="U63" s="92"/>
      <c r="V63" s="92"/>
      <c r="W63" s="92"/>
      <c r="X63" s="92"/>
      <c r="Y63" s="92"/>
    </row>
    <row r="64" spans="1:25">
      <c r="A64" s="441"/>
      <c r="B64" s="23">
        <f t="shared" si="13"/>
        <v>64</v>
      </c>
      <c r="C64" s="468"/>
      <c r="D64" s="469"/>
      <c r="E64" s="469"/>
      <c r="F64" s="163" t="s">
        <v>464</v>
      </c>
      <c r="G64" s="219">
        <f t="shared" ref="G64:K65" si="33">$D28*G28</f>
        <v>0</v>
      </c>
      <c r="H64" s="219">
        <f t="shared" si="33"/>
        <v>0</v>
      </c>
      <c r="I64" s="219">
        <f t="shared" si="33"/>
        <v>0</v>
      </c>
      <c r="J64" s="219">
        <f t="shared" si="33"/>
        <v>0</v>
      </c>
      <c r="K64" s="219">
        <f t="shared" si="33"/>
        <v>0</v>
      </c>
      <c r="L64" s="553">
        <f>$E28*L28</f>
        <v>0</v>
      </c>
      <c r="M64" s="553">
        <f t="shared" ref="M64:R64" si="34">$E28*M28</f>
        <v>0</v>
      </c>
      <c r="N64" s="553">
        <f t="shared" si="34"/>
        <v>0</v>
      </c>
      <c r="O64" s="553">
        <f t="shared" si="34"/>
        <v>0</v>
      </c>
      <c r="P64" s="553">
        <f t="shared" si="34"/>
        <v>0</v>
      </c>
      <c r="Q64" s="553">
        <f t="shared" si="34"/>
        <v>0</v>
      </c>
      <c r="R64" s="553">
        <f t="shared" si="34"/>
        <v>0</v>
      </c>
      <c r="S64" s="111">
        <f t="shared" si="11"/>
        <v>0</v>
      </c>
      <c r="T64" s="92"/>
      <c r="U64" s="92"/>
      <c r="V64" s="92"/>
      <c r="W64" s="92"/>
      <c r="X64" s="92"/>
      <c r="Y64" s="92"/>
    </row>
    <row r="65" spans="1:25">
      <c r="A65" s="441"/>
      <c r="B65" s="23">
        <f t="shared" si="13"/>
        <v>65</v>
      </c>
      <c r="C65" s="468"/>
      <c r="D65" s="469"/>
      <c r="E65" s="469"/>
      <c r="F65" s="163" t="s">
        <v>465</v>
      </c>
      <c r="G65" s="219">
        <f t="shared" si="33"/>
        <v>0</v>
      </c>
      <c r="H65" s="219">
        <f t="shared" si="33"/>
        <v>0</v>
      </c>
      <c r="I65" s="219">
        <f t="shared" si="33"/>
        <v>0</v>
      </c>
      <c r="J65" s="219">
        <f t="shared" si="33"/>
        <v>0</v>
      </c>
      <c r="K65" s="219">
        <f t="shared" si="33"/>
        <v>0</v>
      </c>
      <c r="L65" s="553">
        <f>$E29*L29</f>
        <v>0</v>
      </c>
      <c r="M65" s="553">
        <f t="shared" ref="M65:R65" si="35">$E29*M29</f>
        <v>0</v>
      </c>
      <c r="N65" s="553">
        <f t="shared" si="35"/>
        <v>0</v>
      </c>
      <c r="O65" s="553">
        <f t="shared" si="35"/>
        <v>0</v>
      </c>
      <c r="P65" s="553">
        <f t="shared" si="35"/>
        <v>0</v>
      </c>
      <c r="Q65" s="553">
        <f t="shared" si="35"/>
        <v>0</v>
      </c>
      <c r="R65" s="553">
        <f t="shared" si="35"/>
        <v>0</v>
      </c>
      <c r="S65" s="111">
        <f t="shared" si="11"/>
        <v>0</v>
      </c>
      <c r="T65" s="92"/>
      <c r="U65" s="92"/>
      <c r="V65" s="92"/>
      <c r="W65" s="92"/>
      <c r="X65" s="92"/>
      <c r="Y65" s="92"/>
    </row>
    <row r="66" spans="1:25">
      <c r="A66" s="441"/>
      <c r="B66" s="23">
        <f t="shared" si="13"/>
        <v>66</v>
      </c>
      <c r="C66" s="468"/>
      <c r="D66" s="469"/>
      <c r="E66" s="469"/>
      <c r="F66" s="164" t="s">
        <v>466</v>
      </c>
      <c r="G66" s="219">
        <f>G30</f>
        <v>0</v>
      </c>
      <c r="H66" s="219">
        <f t="shared" ref="H66:R66" si="36">H30</f>
        <v>0</v>
      </c>
      <c r="I66" s="219">
        <f t="shared" si="36"/>
        <v>0</v>
      </c>
      <c r="J66" s="219">
        <f t="shared" si="36"/>
        <v>0</v>
      </c>
      <c r="K66" s="219">
        <f t="shared" si="36"/>
        <v>0</v>
      </c>
      <c r="L66" s="219">
        <f t="shared" si="36"/>
        <v>0</v>
      </c>
      <c r="M66" s="219">
        <f t="shared" si="36"/>
        <v>0</v>
      </c>
      <c r="N66" s="219">
        <f t="shared" si="36"/>
        <v>0</v>
      </c>
      <c r="O66" s="219">
        <f t="shared" si="36"/>
        <v>0</v>
      </c>
      <c r="P66" s="219">
        <f t="shared" si="36"/>
        <v>0</v>
      </c>
      <c r="Q66" s="219">
        <f t="shared" si="36"/>
        <v>0</v>
      </c>
      <c r="R66" s="219">
        <f t="shared" si="36"/>
        <v>0</v>
      </c>
      <c r="S66" s="111">
        <f t="shared" si="11"/>
        <v>0</v>
      </c>
      <c r="T66" s="92"/>
      <c r="U66" s="92"/>
      <c r="V66" s="92"/>
      <c r="W66" s="92"/>
      <c r="X66" s="92"/>
      <c r="Y66" s="92"/>
    </row>
    <row r="67" spans="1:25">
      <c r="A67" s="441"/>
      <c r="B67" s="23">
        <f t="shared" si="13"/>
        <v>67</v>
      </c>
      <c r="C67" s="468"/>
      <c r="D67" s="469"/>
      <c r="E67" s="469"/>
      <c r="F67" s="164" t="s">
        <v>467</v>
      </c>
      <c r="G67" s="219">
        <f>MIN(8000,G31*1)</f>
        <v>0</v>
      </c>
      <c r="H67" s="219">
        <f t="shared" ref="H67:R67" si="37">MIN(8000,H31*1)</f>
        <v>0</v>
      </c>
      <c r="I67" s="219">
        <f t="shared" si="37"/>
        <v>0</v>
      </c>
      <c r="J67" s="219">
        <f t="shared" si="37"/>
        <v>0</v>
      </c>
      <c r="K67" s="219">
        <f t="shared" si="37"/>
        <v>0</v>
      </c>
      <c r="L67" s="219">
        <f t="shared" si="37"/>
        <v>0</v>
      </c>
      <c r="M67" s="219">
        <f t="shared" si="37"/>
        <v>0</v>
      </c>
      <c r="N67" s="219">
        <f t="shared" si="37"/>
        <v>0</v>
      </c>
      <c r="O67" s="219">
        <f t="shared" si="37"/>
        <v>0</v>
      </c>
      <c r="P67" s="219">
        <f t="shared" si="37"/>
        <v>0</v>
      </c>
      <c r="Q67" s="219">
        <f t="shared" si="37"/>
        <v>0</v>
      </c>
      <c r="R67" s="219">
        <f t="shared" si="37"/>
        <v>0</v>
      </c>
      <c r="S67" s="111">
        <f t="shared" si="11"/>
        <v>0</v>
      </c>
      <c r="T67" s="92"/>
      <c r="U67" s="92"/>
      <c r="V67" s="92"/>
      <c r="W67" s="92"/>
      <c r="X67" s="92"/>
      <c r="Y67" s="92"/>
    </row>
    <row r="68" spans="1:25">
      <c r="A68" s="441"/>
      <c r="B68" s="23">
        <f t="shared" si="13"/>
        <v>68</v>
      </c>
      <c r="C68" s="468"/>
      <c r="D68" s="469"/>
      <c r="E68" s="469"/>
      <c r="F68" s="164" t="s">
        <v>470</v>
      </c>
      <c r="G68" s="219">
        <f>ROUND(G32*19*G$6,2)</f>
        <v>0</v>
      </c>
      <c r="H68" s="219">
        <f t="shared" ref="H68:R68" si="38">ROUND(H32*19*H$6,2)</f>
        <v>0</v>
      </c>
      <c r="I68" s="219">
        <f t="shared" si="38"/>
        <v>0</v>
      </c>
      <c r="J68" s="219">
        <f t="shared" si="38"/>
        <v>0</v>
      </c>
      <c r="K68" s="219">
        <f t="shared" si="38"/>
        <v>0</v>
      </c>
      <c r="L68" s="219">
        <f t="shared" si="38"/>
        <v>0</v>
      </c>
      <c r="M68" s="219">
        <f t="shared" si="38"/>
        <v>0</v>
      </c>
      <c r="N68" s="219">
        <f t="shared" si="38"/>
        <v>0</v>
      </c>
      <c r="O68" s="219">
        <f t="shared" si="38"/>
        <v>0</v>
      </c>
      <c r="P68" s="219">
        <f t="shared" si="38"/>
        <v>0</v>
      </c>
      <c r="Q68" s="219">
        <f t="shared" si="38"/>
        <v>0</v>
      </c>
      <c r="R68" s="219">
        <f t="shared" si="38"/>
        <v>0</v>
      </c>
      <c r="S68" s="111">
        <f t="shared" si="11"/>
        <v>0</v>
      </c>
      <c r="T68" s="92"/>
      <c r="U68" s="92"/>
      <c r="V68" s="92"/>
      <c r="W68" s="92"/>
      <c r="X68" s="92"/>
      <c r="Y68" s="92"/>
    </row>
    <row r="69" spans="1:25">
      <c r="A69" s="441"/>
      <c r="B69" s="23">
        <f t="shared" si="13"/>
        <v>69</v>
      </c>
      <c r="C69" s="468"/>
      <c r="D69" s="469"/>
      <c r="E69" s="469"/>
      <c r="F69" s="164" t="s">
        <v>471</v>
      </c>
      <c r="G69" s="219">
        <f t="shared" ref="G69:R69" si="39">IF(G33&gt;0,G33*G$140*25%,0)</f>
        <v>0</v>
      </c>
      <c r="H69" s="219">
        <f t="shared" si="39"/>
        <v>0</v>
      </c>
      <c r="I69" s="219">
        <f t="shared" si="39"/>
        <v>0</v>
      </c>
      <c r="J69" s="219">
        <f t="shared" si="39"/>
        <v>0</v>
      </c>
      <c r="K69" s="219">
        <f t="shared" si="39"/>
        <v>0</v>
      </c>
      <c r="L69" s="219">
        <f t="shared" si="39"/>
        <v>0</v>
      </c>
      <c r="M69" s="219">
        <f t="shared" si="39"/>
        <v>0</v>
      </c>
      <c r="N69" s="219">
        <f t="shared" si="39"/>
        <v>0</v>
      </c>
      <c r="O69" s="219">
        <f t="shared" si="39"/>
        <v>0</v>
      </c>
      <c r="P69" s="219">
        <f t="shared" si="39"/>
        <v>0</v>
      </c>
      <c r="Q69" s="219">
        <f t="shared" si="39"/>
        <v>0</v>
      </c>
      <c r="R69" s="219">
        <f t="shared" si="39"/>
        <v>0</v>
      </c>
      <c r="S69" s="111">
        <f t="shared" si="11"/>
        <v>0</v>
      </c>
      <c r="T69" s="92"/>
      <c r="U69" s="92"/>
      <c r="V69" s="92"/>
      <c r="W69" s="92"/>
      <c r="X69" s="92"/>
      <c r="Y69" s="92"/>
    </row>
    <row r="70" spans="1:25">
      <c r="A70" s="441"/>
      <c r="B70" s="23">
        <f t="shared" si="13"/>
        <v>70</v>
      </c>
      <c r="C70" s="468"/>
      <c r="D70" s="469"/>
      <c r="E70" s="469"/>
      <c r="F70" s="164" t="s">
        <v>472</v>
      </c>
      <c r="G70" s="219">
        <f>IF(G34&gt;0,G34*G$140*50%,0)</f>
        <v>0</v>
      </c>
      <c r="H70" s="219">
        <f t="shared" ref="H70:R70" si="40">IF(H34&gt;0,H34*H$140*50%,0)</f>
        <v>0</v>
      </c>
      <c r="I70" s="219">
        <f t="shared" si="40"/>
        <v>0</v>
      </c>
      <c r="J70" s="219">
        <f t="shared" si="40"/>
        <v>0</v>
      </c>
      <c r="K70" s="219">
        <f t="shared" si="40"/>
        <v>0</v>
      </c>
      <c r="L70" s="219">
        <f t="shared" si="40"/>
        <v>0</v>
      </c>
      <c r="M70" s="219">
        <f t="shared" si="40"/>
        <v>0</v>
      </c>
      <c r="N70" s="219">
        <f t="shared" si="40"/>
        <v>0</v>
      </c>
      <c r="O70" s="219">
        <f t="shared" si="40"/>
        <v>0</v>
      </c>
      <c r="P70" s="219">
        <f t="shared" si="40"/>
        <v>0</v>
      </c>
      <c r="Q70" s="219">
        <f t="shared" si="40"/>
        <v>0</v>
      </c>
      <c r="R70" s="219">
        <f t="shared" si="40"/>
        <v>0</v>
      </c>
      <c r="S70" s="111">
        <f t="shared" si="11"/>
        <v>0</v>
      </c>
      <c r="T70" s="92"/>
      <c r="U70" s="92"/>
      <c r="V70" s="92"/>
      <c r="W70" s="92"/>
      <c r="X70" s="92"/>
      <c r="Y70" s="92"/>
    </row>
    <row r="71" spans="1:25">
      <c r="A71" s="441"/>
      <c r="B71" s="23">
        <f t="shared" si="13"/>
        <v>71</v>
      </c>
      <c r="C71" s="468"/>
      <c r="D71" s="469"/>
      <c r="E71" s="469"/>
      <c r="F71" s="164" t="s">
        <v>544</v>
      </c>
      <c r="G71" s="219">
        <f>IF(G35&gt;0,G35*G$140,0)</f>
        <v>0</v>
      </c>
      <c r="H71" s="219">
        <f t="shared" ref="H71:R71" si="41">IF(H35&gt;0,H35*H$140,0)</f>
        <v>0</v>
      </c>
      <c r="I71" s="219">
        <f t="shared" si="41"/>
        <v>0</v>
      </c>
      <c r="J71" s="219">
        <f t="shared" si="41"/>
        <v>0</v>
      </c>
      <c r="K71" s="219">
        <f t="shared" si="41"/>
        <v>0</v>
      </c>
      <c r="L71" s="219">
        <f t="shared" si="41"/>
        <v>0</v>
      </c>
      <c r="M71" s="219">
        <f t="shared" si="41"/>
        <v>0</v>
      </c>
      <c r="N71" s="219">
        <f t="shared" si="41"/>
        <v>0</v>
      </c>
      <c r="O71" s="219">
        <f t="shared" si="41"/>
        <v>0</v>
      </c>
      <c r="P71" s="219">
        <f t="shared" si="41"/>
        <v>0</v>
      </c>
      <c r="Q71" s="219">
        <f t="shared" si="41"/>
        <v>0</v>
      </c>
      <c r="R71" s="219">
        <f t="shared" si="41"/>
        <v>0</v>
      </c>
      <c r="S71" s="111">
        <f t="shared" si="11"/>
        <v>0</v>
      </c>
      <c r="T71" s="92"/>
      <c r="U71" s="92"/>
      <c r="V71" s="92"/>
      <c r="W71" s="92"/>
      <c r="X71" s="92"/>
      <c r="Y71" s="92"/>
    </row>
    <row r="72" spans="1:25">
      <c r="A72" s="441"/>
      <c r="B72" s="23">
        <f t="shared" si="13"/>
        <v>72</v>
      </c>
      <c r="C72" s="466"/>
      <c r="D72" s="467"/>
      <c r="E72" s="467"/>
      <c r="F72" s="189" t="s">
        <v>463</v>
      </c>
      <c r="G72" s="217">
        <f>SUM(G36:G43)+IF(G31&gt;0,MAX(G31-8000,0),0)</f>
        <v>0</v>
      </c>
      <c r="H72" s="217">
        <f t="shared" ref="H72:R72" si="42">SUM(H36:H43)+IF(H31&gt;0,MAX(H31-8000,0),0)</f>
        <v>0</v>
      </c>
      <c r="I72" s="217">
        <f t="shared" si="42"/>
        <v>0</v>
      </c>
      <c r="J72" s="217">
        <f t="shared" si="42"/>
        <v>0</v>
      </c>
      <c r="K72" s="217">
        <f t="shared" si="42"/>
        <v>0</v>
      </c>
      <c r="L72" s="217">
        <f t="shared" si="42"/>
        <v>0</v>
      </c>
      <c r="M72" s="217">
        <f t="shared" si="42"/>
        <v>0</v>
      </c>
      <c r="N72" s="217">
        <f t="shared" si="42"/>
        <v>0</v>
      </c>
      <c r="O72" s="217">
        <f t="shared" si="42"/>
        <v>0</v>
      </c>
      <c r="P72" s="217">
        <f t="shared" si="42"/>
        <v>0</v>
      </c>
      <c r="Q72" s="217">
        <f t="shared" si="42"/>
        <v>0</v>
      </c>
      <c r="R72" s="217">
        <f t="shared" si="42"/>
        <v>0</v>
      </c>
      <c r="S72" s="112">
        <f t="shared" si="11"/>
        <v>0</v>
      </c>
      <c r="T72" s="92"/>
      <c r="U72" s="92"/>
      <c r="V72" s="92"/>
      <c r="W72" s="92"/>
      <c r="X72" s="92"/>
      <c r="Y72" s="92"/>
    </row>
    <row r="73" spans="1:25" ht="13">
      <c r="A73" s="442"/>
      <c r="B73" s="490">
        <f>B72+1</f>
        <v>73</v>
      </c>
      <c r="C73" s="483"/>
      <c r="D73" s="483"/>
      <c r="E73" s="483"/>
      <c r="F73" s="77" t="s">
        <v>114</v>
      </c>
      <c r="G73" s="218">
        <f t="shared" ref="G73:R73" si="43">SUM(G45:G72)</f>
        <v>0</v>
      </c>
      <c r="H73" s="218">
        <f t="shared" si="43"/>
        <v>0</v>
      </c>
      <c r="I73" s="218">
        <f t="shared" si="43"/>
        <v>0</v>
      </c>
      <c r="J73" s="218">
        <f t="shared" si="43"/>
        <v>0</v>
      </c>
      <c r="K73" s="218">
        <f t="shared" si="43"/>
        <v>0</v>
      </c>
      <c r="L73" s="218">
        <f t="shared" si="43"/>
        <v>0</v>
      </c>
      <c r="M73" s="218">
        <f t="shared" si="43"/>
        <v>0</v>
      </c>
      <c r="N73" s="218">
        <f t="shared" si="43"/>
        <v>0</v>
      </c>
      <c r="O73" s="218">
        <f t="shared" si="43"/>
        <v>0</v>
      </c>
      <c r="P73" s="218">
        <f t="shared" si="43"/>
        <v>0</v>
      </c>
      <c r="Q73" s="218">
        <f t="shared" si="43"/>
        <v>0</v>
      </c>
      <c r="R73" s="218">
        <f t="shared" si="43"/>
        <v>0</v>
      </c>
      <c r="S73" s="84">
        <f t="shared" si="11"/>
        <v>0</v>
      </c>
      <c r="T73" s="92"/>
      <c r="U73" s="92"/>
      <c r="V73" s="92"/>
      <c r="W73" s="92"/>
      <c r="X73" s="92"/>
      <c r="Y73" s="92"/>
    </row>
    <row r="74" spans="1:25" ht="13">
      <c r="A74" s="441"/>
      <c r="B74" s="23">
        <f t="shared" si="13"/>
        <v>74</v>
      </c>
      <c r="C74"/>
      <c r="D74"/>
      <c r="E74"/>
      <c r="F74" s="162" t="s">
        <v>111</v>
      </c>
      <c r="G74" s="108">
        <f t="shared" ref="G74:R74" si="44">ROUND(G45*17.3%/3,2)*(G5="L")</f>
        <v>0</v>
      </c>
      <c r="H74" s="108">
        <f t="shared" si="44"/>
        <v>0</v>
      </c>
      <c r="I74" s="108">
        <f t="shared" si="44"/>
        <v>0</v>
      </c>
      <c r="J74" s="108">
        <f t="shared" si="44"/>
        <v>0</v>
      </c>
      <c r="K74" s="108">
        <f t="shared" si="44"/>
        <v>0</v>
      </c>
      <c r="L74" s="108">
        <f t="shared" si="44"/>
        <v>0</v>
      </c>
      <c r="M74" s="108">
        <f t="shared" si="44"/>
        <v>0</v>
      </c>
      <c r="N74" s="108">
        <f t="shared" si="44"/>
        <v>0</v>
      </c>
      <c r="O74" s="108">
        <f t="shared" si="44"/>
        <v>0</v>
      </c>
      <c r="P74" s="108">
        <f t="shared" si="44"/>
        <v>0</v>
      </c>
      <c r="Q74" s="108">
        <f t="shared" si="44"/>
        <v>0</v>
      </c>
      <c r="R74" s="108">
        <f t="shared" si="44"/>
        <v>0</v>
      </c>
      <c r="S74" s="109">
        <f t="shared" si="11"/>
        <v>0</v>
      </c>
      <c r="T74" s="92"/>
      <c r="U74" s="92"/>
      <c r="V74" s="92"/>
      <c r="W74" s="92"/>
      <c r="X74" s="92"/>
      <c r="Y74" s="92"/>
    </row>
    <row r="75" spans="1:25" ht="13">
      <c r="A75" s="441"/>
      <c r="B75" s="23">
        <f t="shared" si="13"/>
        <v>75</v>
      </c>
      <c r="C75"/>
      <c r="D75"/>
      <c r="E75"/>
      <c r="F75" s="163" t="s">
        <v>196</v>
      </c>
      <c r="G75" s="110">
        <f t="shared" ref="G75:R75" si="45">ROUND(G47*17.3%/3,2)*(G5="L")</f>
        <v>0</v>
      </c>
      <c r="H75" s="110">
        <f t="shared" si="45"/>
        <v>0</v>
      </c>
      <c r="I75" s="110">
        <f t="shared" si="45"/>
        <v>0</v>
      </c>
      <c r="J75" s="110">
        <f t="shared" si="45"/>
        <v>0</v>
      </c>
      <c r="K75" s="110">
        <f t="shared" si="45"/>
        <v>0</v>
      </c>
      <c r="L75" s="110">
        <f t="shared" si="45"/>
        <v>0</v>
      </c>
      <c r="M75" s="110">
        <f t="shared" si="45"/>
        <v>0</v>
      </c>
      <c r="N75" s="110">
        <f t="shared" si="45"/>
        <v>0</v>
      </c>
      <c r="O75" s="110">
        <f t="shared" si="45"/>
        <v>0</v>
      </c>
      <c r="P75" s="110">
        <f t="shared" si="45"/>
        <v>0</v>
      </c>
      <c r="Q75" s="110">
        <f t="shared" si="45"/>
        <v>0</v>
      </c>
      <c r="R75" s="110">
        <f t="shared" si="45"/>
        <v>0</v>
      </c>
      <c r="S75" s="111">
        <f t="shared" si="11"/>
        <v>0</v>
      </c>
      <c r="T75" s="92"/>
      <c r="U75" s="92"/>
      <c r="V75" s="92"/>
      <c r="W75" s="92"/>
      <c r="X75" s="92"/>
      <c r="Y75" s="92"/>
    </row>
    <row r="76" spans="1:25" ht="13">
      <c r="A76" s="441"/>
      <c r="B76" s="23">
        <f t="shared" si="13"/>
        <v>76</v>
      </c>
      <c r="C76"/>
      <c r="D76"/>
      <c r="E76"/>
      <c r="F76" s="163" t="s">
        <v>112</v>
      </c>
      <c r="G76" s="110">
        <f t="shared" ref="G76:R76" si="46">ROUND(G48*17.3%/3,2)</f>
        <v>0</v>
      </c>
      <c r="H76" s="110">
        <f t="shared" si="46"/>
        <v>0</v>
      </c>
      <c r="I76" s="110">
        <f t="shared" si="46"/>
        <v>0</v>
      </c>
      <c r="J76" s="110">
        <f t="shared" si="46"/>
        <v>0</v>
      </c>
      <c r="K76" s="110">
        <f t="shared" si="46"/>
        <v>0</v>
      </c>
      <c r="L76" s="110">
        <f t="shared" si="46"/>
        <v>0</v>
      </c>
      <c r="M76" s="110">
        <f t="shared" si="46"/>
        <v>0</v>
      </c>
      <c r="N76" s="110">
        <f t="shared" si="46"/>
        <v>0</v>
      </c>
      <c r="O76" s="110">
        <f t="shared" si="46"/>
        <v>0</v>
      </c>
      <c r="P76" s="110">
        <f t="shared" si="46"/>
        <v>0</v>
      </c>
      <c r="Q76" s="110">
        <f t="shared" si="46"/>
        <v>0</v>
      </c>
      <c r="R76" s="110">
        <f t="shared" si="46"/>
        <v>0</v>
      </c>
      <c r="S76" s="111">
        <f t="shared" si="11"/>
        <v>0</v>
      </c>
      <c r="T76" s="92"/>
      <c r="U76" s="92"/>
      <c r="V76" s="92"/>
      <c r="W76" s="92"/>
      <c r="X76" s="92"/>
      <c r="Y76" s="92"/>
    </row>
    <row r="77" spans="1:25" ht="13">
      <c r="A77" s="441"/>
      <c r="B77" s="23">
        <f t="shared" si="13"/>
        <v>77</v>
      </c>
      <c r="C77"/>
      <c r="D77">
        <f t="shared" ref="D77:D82" si="47">(D11&lt;&gt;"")*1</f>
        <v>0</v>
      </c>
      <c r="E77"/>
      <c r="F77" s="163" t="s">
        <v>203</v>
      </c>
      <c r="G77" s="110">
        <f t="shared" ref="G77:R77" si="48">ROUND(G49*17.3%/3,2)*OR((G5="L"),(LEFT(G19)="J"))</f>
        <v>0</v>
      </c>
      <c r="H77" s="110">
        <f t="shared" si="48"/>
        <v>0</v>
      </c>
      <c r="I77" s="110">
        <f t="shared" si="48"/>
        <v>0</v>
      </c>
      <c r="J77" s="110">
        <f t="shared" si="48"/>
        <v>0</v>
      </c>
      <c r="K77" s="110">
        <f t="shared" si="48"/>
        <v>0</v>
      </c>
      <c r="L77" s="110">
        <f t="shared" si="48"/>
        <v>0</v>
      </c>
      <c r="M77" s="110">
        <f t="shared" si="48"/>
        <v>0</v>
      </c>
      <c r="N77" s="110">
        <f t="shared" si="48"/>
        <v>0</v>
      </c>
      <c r="O77" s="110">
        <f t="shared" si="48"/>
        <v>0</v>
      </c>
      <c r="P77" s="110">
        <f t="shared" si="48"/>
        <v>0</v>
      </c>
      <c r="Q77" s="110">
        <f t="shared" si="48"/>
        <v>0</v>
      </c>
      <c r="R77" s="110">
        <f t="shared" si="48"/>
        <v>0</v>
      </c>
      <c r="S77" s="111">
        <f t="shared" si="11"/>
        <v>0</v>
      </c>
      <c r="T77" s="92"/>
      <c r="U77" s="92"/>
      <c r="V77" s="92"/>
      <c r="W77" s="92"/>
      <c r="X77" s="92"/>
      <c r="Y77" s="92"/>
    </row>
    <row r="78" spans="1:25" ht="13">
      <c r="A78" s="441"/>
      <c r="B78" s="23">
        <f t="shared" si="13"/>
        <v>78</v>
      </c>
      <c r="C78"/>
      <c r="D78">
        <f t="shared" si="47"/>
        <v>0</v>
      </c>
      <c r="E78"/>
      <c r="F78" s="163" t="s">
        <v>204</v>
      </c>
      <c r="G78" s="110">
        <f t="shared" ref="G78:R78" si="49">ROUND(G50*17.3%/3,2)*OR((G5="L"),(LEFT(G19)="J"))</f>
        <v>0</v>
      </c>
      <c r="H78" s="110">
        <f t="shared" si="49"/>
        <v>0</v>
      </c>
      <c r="I78" s="110">
        <f t="shared" si="49"/>
        <v>0</v>
      </c>
      <c r="J78" s="110">
        <f t="shared" si="49"/>
        <v>0</v>
      </c>
      <c r="K78" s="110">
        <f t="shared" si="49"/>
        <v>0</v>
      </c>
      <c r="L78" s="110">
        <f t="shared" si="49"/>
        <v>0</v>
      </c>
      <c r="M78" s="110">
        <f t="shared" si="49"/>
        <v>0</v>
      </c>
      <c r="N78" s="110">
        <f t="shared" si="49"/>
        <v>0</v>
      </c>
      <c r="O78" s="110">
        <f t="shared" si="49"/>
        <v>0</v>
      </c>
      <c r="P78" s="110">
        <f t="shared" si="49"/>
        <v>0</v>
      </c>
      <c r="Q78" s="110">
        <f t="shared" si="49"/>
        <v>0</v>
      </c>
      <c r="R78" s="110">
        <f t="shared" si="49"/>
        <v>0</v>
      </c>
      <c r="S78" s="111">
        <f t="shared" si="11"/>
        <v>0</v>
      </c>
      <c r="T78" s="92"/>
      <c r="U78" s="92"/>
      <c r="V78" s="92"/>
      <c r="W78" s="92"/>
      <c r="X78" s="92"/>
      <c r="Y78" s="92"/>
    </row>
    <row r="79" spans="1:25" ht="13">
      <c r="A79" s="441"/>
      <c r="B79" s="23">
        <f t="shared" si="13"/>
        <v>79</v>
      </c>
      <c r="C79"/>
      <c r="D79">
        <f t="shared" si="47"/>
        <v>0</v>
      </c>
      <c r="E79"/>
      <c r="F79" s="163" t="s">
        <v>64</v>
      </c>
      <c r="G79" s="110">
        <f t="shared" ref="G79:R79" si="50">ROUND(G51*17.3%/3,2)*OR((G5="L"),(LEFT(G19)="J"))</f>
        <v>0</v>
      </c>
      <c r="H79" s="110">
        <f t="shared" si="50"/>
        <v>0</v>
      </c>
      <c r="I79" s="110">
        <f t="shared" si="50"/>
        <v>0</v>
      </c>
      <c r="J79" s="110">
        <f t="shared" si="50"/>
        <v>0</v>
      </c>
      <c r="K79" s="110">
        <f t="shared" si="50"/>
        <v>0</v>
      </c>
      <c r="L79" s="110">
        <f t="shared" si="50"/>
        <v>0</v>
      </c>
      <c r="M79" s="110">
        <f t="shared" si="50"/>
        <v>0</v>
      </c>
      <c r="N79" s="110">
        <f t="shared" si="50"/>
        <v>0</v>
      </c>
      <c r="O79" s="110">
        <f t="shared" si="50"/>
        <v>0</v>
      </c>
      <c r="P79" s="110">
        <f t="shared" si="50"/>
        <v>0</v>
      </c>
      <c r="Q79" s="110">
        <f t="shared" si="50"/>
        <v>0</v>
      </c>
      <c r="R79" s="110">
        <f t="shared" si="50"/>
        <v>0</v>
      </c>
      <c r="S79" s="111">
        <f t="shared" si="11"/>
        <v>0</v>
      </c>
      <c r="T79" s="92"/>
      <c r="U79" s="92"/>
      <c r="V79" s="92"/>
      <c r="W79" s="92"/>
      <c r="X79" s="92"/>
      <c r="Y79" s="92"/>
    </row>
    <row r="80" spans="1:25" ht="13">
      <c r="A80" s="441"/>
      <c r="B80" s="23">
        <f t="shared" si="13"/>
        <v>80</v>
      </c>
      <c r="C80"/>
      <c r="D80">
        <f t="shared" si="47"/>
        <v>1</v>
      </c>
      <c r="E80"/>
      <c r="F80" s="163" t="s">
        <v>65</v>
      </c>
      <c r="G80" s="110">
        <f t="shared" ref="G80:R80" si="51">ROUND(G52*17.3%/3,2)*OR((G5="L"),(LEFT(G19)="J"))</f>
        <v>0</v>
      </c>
      <c r="H80" s="110">
        <f t="shared" si="51"/>
        <v>0</v>
      </c>
      <c r="I80" s="110">
        <f t="shared" si="51"/>
        <v>0</v>
      </c>
      <c r="J80" s="110">
        <f t="shared" si="51"/>
        <v>0</v>
      </c>
      <c r="K80" s="110">
        <f t="shared" si="51"/>
        <v>0</v>
      </c>
      <c r="L80" s="110">
        <f t="shared" si="51"/>
        <v>0</v>
      </c>
      <c r="M80" s="110">
        <f t="shared" si="51"/>
        <v>0</v>
      </c>
      <c r="N80" s="110">
        <f t="shared" si="51"/>
        <v>0</v>
      </c>
      <c r="O80" s="110">
        <f t="shared" si="51"/>
        <v>0</v>
      </c>
      <c r="P80" s="110">
        <f t="shared" si="51"/>
        <v>0</v>
      </c>
      <c r="Q80" s="110">
        <f t="shared" si="51"/>
        <v>0</v>
      </c>
      <c r="R80" s="110">
        <f t="shared" si="51"/>
        <v>0</v>
      </c>
      <c r="S80" s="111">
        <f t="shared" si="11"/>
        <v>0</v>
      </c>
      <c r="T80" s="92"/>
      <c r="U80" s="92"/>
      <c r="V80" s="92"/>
      <c r="W80" s="92"/>
      <c r="X80" s="92"/>
      <c r="Y80" s="92"/>
    </row>
    <row r="81" spans="1:25" ht="13">
      <c r="A81" s="441"/>
      <c r="B81" s="23">
        <f t="shared" si="13"/>
        <v>81</v>
      </c>
      <c r="C81"/>
      <c r="D81">
        <f t="shared" si="47"/>
        <v>0</v>
      </c>
      <c r="E81"/>
      <c r="F81" s="163" t="s">
        <v>66</v>
      </c>
      <c r="G81" s="110">
        <f t="shared" ref="G81:R81" si="52">ROUND(G53*17.3%/3,2)*OR((G5="L"),(LEFT(G19)="J"))</f>
        <v>0</v>
      </c>
      <c r="H81" s="110">
        <f t="shared" si="52"/>
        <v>0</v>
      </c>
      <c r="I81" s="110">
        <f t="shared" si="52"/>
        <v>0</v>
      </c>
      <c r="J81" s="110">
        <f t="shared" si="52"/>
        <v>0</v>
      </c>
      <c r="K81" s="110">
        <f t="shared" si="52"/>
        <v>0</v>
      </c>
      <c r="L81" s="110">
        <f t="shared" si="52"/>
        <v>0</v>
      </c>
      <c r="M81" s="110">
        <f t="shared" si="52"/>
        <v>0</v>
      </c>
      <c r="N81" s="110">
        <f t="shared" si="52"/>
        <v>0</v>
      </c>
      <c r="O81" s="110">
        <f t="shared" si="52"/>
        <v>0</v>
      </c>
      <c r="P81" s="110">
        <f t="shared" si="52"/>
        <v>0</v>
      </c>
      <c r="Q81" s="110">
        <f t="shared" si="52"/>
        <v>0</v>
      </c>
      <c r="R81" s="110">
        <f t="shared" si="52"/>
        <v>0</v>
      </c>
      <c r="S81" s="111">
        <f t="shared" si="11"/>
        <v>0</v>
      </c>
      <c r="T81" s="92"/>
      <c r="U81" s="92"/>
      <c r="V81" s="92"/>
      <c r="W81" s="92"/>
      <c r="X81" s="92"/>
      <c r="Y81" s="92"/>
    </row>
    <row r="82" spans="1:25" ht="13">
      <c r="A82" s="441"/>
      <c r="B82" s="23">
        <f t="shared" si="13"/>
        <v>82</v>
      </c>
      <c r="C82"/>
      <c r="D82">
        <f t="shared" si="47"/>
        <v>0</v>
      </c>
      <c r="E82"/>
      <c r="F82" s="163" t="s">
        <v>67</v>
      </c>
      <c r="G82" s="110">
        <f t="shared" ref="G82:R82" si="53">ROUND(G54*17.3%/3,2)*OR((G5="L"),(LEFT(G19)="J"))</f>
        <v>0</v>
      </c>
      <c r="H82" s="110">
        <f t="shared" si="53"/>
        <v>0</v>
      </c>
      <c r="I82" s="110">
        <f t="shared" si="53"/>
        <v>0</v>
      </c>
      <c r="J82" s="110">
        <f t="shared" si="53"/>
        <v>0</v>
      </c>
      <c r="K82" s="110">
        <f t="shared" si="53"/>
        <v>0</v>
      </c>
      <c r="L82" s="110">
        <f t="shared" si="53"/>
        <v>0</v>
      </c>
      <c r="M82" s="110">
        <f t="shared" si="53"/>
        <v>0</v>
      </c>
      <c r="N82" s="110">
        <f t="shared" si="53"/>
        <v>0</v>
      </c>
      <c r="O82" s="110">
        <f t="shared" si="53"/>
        <v>0</v>
      </c>
      <c r="P82" s="110">
        <f t="shared" si="53"/>
        <v>0</v>
      </c>
      <c r="Q82" s="110">
        <f t="shared" si="53"/>
        <v>0</v>
      </c>
      <c r="R82" s="110">
        <f t="shared" si="53"/>
        <v>0</v>
      </c>
      <c r="S82" s="111">
        <f t="shared" si="11"/>
        <v>0</v>
      </c>
      <c r="T82" s="92"/>
      <c r="U82" s="92"/>
      <c r="V82" s="92"/>
      <c r="W82" s="92"/>
      <c r="X82" s="92"/>
      <c r="Y82" s="92"/>
    </row>
    <row r="83" spans="1:25" ht="13">
      <c r="A83" s="441"/>
      <c r="B83" s="23">
        <f t="shared" si="13"/>
        <v>83</v>
      </c>
      <c r="C83"/>
      <c r="D83"/>
      <c r="E83"/>
      <c r="F83" s="163" t="s">
        <v>368</v>
      </c>
      <c r="G83" s="110">
        <f t="shared" ref="G83:R83" si="54">ROUND(G55*17.3%/3,2)*OR((G5="L"),(LEFT(G$19)="J"))</f>
        <v>0</v>
      </c>
      <c r="H83" s="110">
        <f t="shared" si="54"/>
        <v>0</v>
      </c>
      <c r="I83" s="110">
        <f t="shared" si="54"/>
        <v>0</v>
      </c>
      <c r="J83" s="110">
        <f t="shared" si="54"/>
        <v>0</v>
      </c>
      <c r="K83" s="110">
        <f t="shared" si="54"/>
        <v>0</v>
      </c>
      <c r="L83" s="110">
        <f t="shared" si="54"/>
        <v>0</v>
      </c>
      <c r="M83" s="110">
        <f t="shared" si="54"/>
        <v>0</v>
      </c>
      <c r="N83" s="110">
        <f t="shared" si="54"/>
        <v>0</v>
      </c>
      <c r="O83" s="110">
        <f t="shared" si="54"/>
        <v>0</v>
      </c>
      <c r="P83" s="110">
        <f t="shared" si="54"/>
        <v>0</v>
      </c>
      <c r="Q83" s="110">
        <f t="shared" si="54"/>
        <v>0</v>
      </c>
      <c r="R83" s="110">
        <f t="shared" si="54"/>
        <v>0</v>
      </c>
      <c r="S83" s="111">
        <f>SUM(G83:R83)</f>
        <v>0</v>
      </c>
      <c r="T83" s="92"/>
      <c r="U83" s="92"/>
      <c r="V83" s="92"/>
      <c r="W83" s="92"/>
      <c r="X83" s="92"/>
      <c r="Y83" s="92"/>
    </row>
    <row r="84" spans="1:25" ht="13">
      <c r="A84" s="441"/>
      <c r="B84" s="23">
        <f t="shared" si="13"/>
        <v>84</v>
      </c>
      <c r="C84"/>
      <c r="D84"/>
      <c r="E84"/>
      <c r="F84" s="163" t="s">
        <v>20</v>
      </c>
      <c r="G84" s="110">
        <f t="shared" ref="G84:R84" si="55">ROUND(G56*17.3%/3,2)*(G5="L")</f>
        <v>0</v>
      </c>
      <c r="H84" s="110">
        <f t="shared" si="55"/>
        <v>0</v>
      </c>
      <c r="I84" s="110">
        <f t="shared" si="55"/>
        <v>0</v>
      </c>
      <c r="J84" s="110">
        <f t="shared" si="55"/>
        <v>0</v>
      </c>
      <c r="K84" s="110">
        <f t="shared" si="55"/>
        <v>0</v>
      </c>
      <c r="L84" s="110">
        <f t="shared" si="55"/>
        <v>0</v>
      </c>
      <c r="M84" s="110">
        <f t="shared" si="55"/>
        <v>0</v>
      </c>
      <c r="N84" s="110">
        <f t="shared" si="55"/>
        <v>0</v>
      </c>
      <c r="O84" s="110">
        <f t="shared" si="55"/>
        <v>0</v>
      </c>
      <c r="P84" s="110">
        <f t="shared" si="55"/>
        <v>0</v>
      </c>
      <c r="Q84" s="110">
        <f t="shared" si="55"/>
        <v>0</v>
      </c>
      <c r="R84" s="110">
        <f t="shared" si="55"/>
        <v>0</v>
      </c>
      <c r="S84" s="111">
        <f t="shared" si="11"/>
        <v>0</v>
      </c>
      <c r="T84" s="92"/>
      <c r="U84" s="92"/>
      <c r="V84" s="92"/>
      <c r="W84" s="92"/>
      <c r="X84" s="92"/>
      <c r="Y84" s="92"/>
    </row>
    <row r="85" spans="1:25" ht="13">
      <c r="A85" s="441"/>
      <c r="B85" s="23">
        <f t="shared" si="13"/>
        <v>85</v>
      </c>
      <c r="C85"/>
      <c r="D85"/>
      <c r="E85"/>
      <c r="F85" s="163" t="s">
        <v>377</v>
      </c>
      <c r="G85" s="110">
        <f>ROUND(G58*17.3%/3,2)</f>
        <v>0</v>
      </c>
      <c r="H85" s="110">
        <f t="shared" ref="H85:R85" si="56">ROUND(H58*17.3%/3,2)</f>
        <v>0</v>
      </c>
      <c r="I85" s="110">
        <f t="shared" si="56"/>
        <v>0</v>
      </c>
      <c r="J85" s="110">
        <f t="shared" si="56"/>
        <v>0</v>
      </c>
      <c r="K85" s="110">
        <f t="shared" si="56"/>
        <v>0</v>
      </c>
      <c r="L85" s="110">
        <f t="shared" si="56"/>
        <v>0</v>
      </c>
      <c r="M85" s="110">
        <f t="shared" si="56"/>
        <v>0</v>
      </c>
      <c r="N85" s="110">
        <f t="shared" si="56"/>
        <v>0</v>
      </c>
      <c r="O85" s="110">
        <f t="shared" si="56"/>
        <v>0</v>
      </c>
      <c r="P85" s="110">
        <f t="shared" si="56"/>
        <v>0</v>
      </c>
      <c r="Q85" s="110">
        <f t="shared" si="56"/>
        <v>0</v>
      </c>
      <c r="R85" s="110">
        <f t="shared" si="56"/>
        <v>0</v>
      </c>
      <c r="S85" s="111">
        <f t="shared" si="11"/>
        <v>0</v>
      </c>
      <c r="T85" s="92"/>
      <c r="U85" s="92"/>
      <c r="V85" s="92"/>
      <c r="W85" s="92"/>
      <c r="X85" s="92"/>
      <c r="Y85" s="92"/>
    </row>
    <row r="86" spans="1:25" ht="13">
      <c r="A86" s="441"/>
      <c r="B86" s="23">
        <f t="shared" si="13"/>
        <v>86</v>
      </c>
      <c r="C86"/>
      <c r="D86"/>
      <c r="E86"/>
      <c r="F86" s="163" t="s">
        <v>478</v>
      </c>
      <c r="G86" s="493">
        <f t="shared" ref="G86:R86" si="57">MAX(IF(LEFT(G5)&lt;&gt;"L",ROUND(((SUM(G45:G56)-G46+G58)-ROUND(ROUND(VLOOKUP(IF(LEFT(G4)="B",33,42),Skalalontabel12,7,0)*G6,0)/12*G8*G3,2))*IF(G19="JA",0.7%,18%)/3,2))-IF(G19="NEJ",G76+G85,0),0)</f>
        <v>0</v>
      </c>
      <c r="H86" s="493">
        <f t="shared" si="57"/>
        <v>0</v>
      </c>
      <c r="I86" s="493">
        <f t="shared" si="57"/>
        <v>0</v>
      </c>
      <c r="J86" s="493">
        <f t="shared" si="57"/>
        <v>0</v>
      </c>
      <c r="K86" s="493">
        <f t="shared" si="57"/>
        <v>0</v>
      </c>
      <c r="L86" s="493">
        <f t="shared" si="57"/>
        <v>0</v>
      </c>
      <c r="M86" s="493">
        <f t="shared" si="57"/>
        <v>0</v>
      </c>
      <c r="N86" s="493">
        <f t="shared" si="57"/>
        <v>0</v>
      </c>
      <c r="O86" s="493">
        <f t="shared" si="57"/>
        <v>0</v>
      </c>
      <c r="P86" s="493">
        <f t="shared" si="57"/>
        <v>0</v>
      </c>
      <c r="Q86" s="493">
        <f t="shared" si="57"/>
        <v>0</v>
      </c>
      <c r="R86" s="493">
        <f t="shared" si="57"/>
        <v>0</v>
      </c>
      <c r="S86" s="111">
        <f t="shared" si="11"/>
        <v>0</v>
      </c>
      <c r="T86" s="92"/>
      <c r="U86" s="92"/>
      <c r="V86" s="92"/>
      <c r="W86" s="92"/>
      <c r="X86" s="92"/>
      <c r="Y86" s="92"/>
    </row>
    <row r="87" spans="1:25" ht="13">
      <c r="A87" s="441"/>
      <c r="B87" s="23">
        <f t="shared" si="13"/>
        <v>87</v>
      </c>
      <c r="C87"/>
      <c r="D87"/>
      <c r="E87"/>
      <c r="F87" s="163" t="s">
        <v>263</v>
      </c>
      <c r="G87" s="216">
        <f t="shared" ref="G87:R87" si="58">ROUND(-(G22+G25)*4.62%*SUM(G74:G86),2)</f>
        <v>0</v>
      </c>
      <c r="H87" s="216">
        <f t="shared" si="58"/>
        <v>0</v>
      </c>
      <c r="I87" s="216">
        <f t="shared" si="58"/>
        <v>0</v>
      </c>
      <c r="J87" s="216">
        <f t="shared" si="58"/>
        <v>0</v>
      </c>
      <c r="K87" s="216">
        <f t="shared" si="58"/>
        <v>0</v>
      </c>
      <c r="L87" s="216">
        <f t="shared" si="58"/>
        <v>0</v>
      </c>
      <c r="M87" s="216">
        <f t="shared" si="58"/>
        <v>0</v>
      </c>
      <c r="N87" s="216">
        <f t="shared" si="58"/>
        <v>0</v>
      </c>
      <c r="O87" s="216">
        <f t="shared" si="58"/>
        <v>0</v>
      </c>
      <c r="P87" s="216">
        <f t="shared" si="58"/>
        <v>0</v>
      </c>
      <c r="Q87" s="216">
        <f t="shared" si="58"/>
        <v>0</v>
      </c>
      <c r="R87" s="216">
        <f t="shared" si="58"/>
        <v>0</v>
      </c>
      <c r="S87" s="111">
        <f t="shared" si="11"/>
        <v>0</v>
      </c>
      <c r="T87" s="92"/>
      <c r="U87" s="92"/>
      <c r="V87" s="92"/>
      <c r="W87" s="92"/>
      <c r="X87" s="92"/>
      <c r="Y87" s="92"/>
    </row>
    <row r="88" spans="1:25" ht="13">
      <c r="A88" s="441"/>
      <c r="B88" s="23">
        <f t="shared" si="13"/>
        <v>88</v>
      </c>
      <c r="C88"/>
      <c r="D88"/>
      <c r="E88"/>
      <c r="F88" s="164" t="s">
        <v>43</v>
      </c>
      <c r="G88" s="219">
        <f t="shared" ref="G88:O88" si="59">IF(OR(G63=0,G8=0),0,(G74+G81+G82+G84+G85)/G8*4.62%*(G23-G8)*(G21-G22))</f>
        <v>0</v>
      </c>
      <c r="H88" s="219">
        <f t="shared" si="59"/>
        <v>0</v>
      </c>
      <c r="I88" s="219">
        <f t="shared" si="59"/>
        <v>0</v>
      </c>
      <c r="J88" s="219">
        <f t="shared" si="59"/>
        <v>0</v>
      </c>
      <c r="K88" s="219">
        <f t="shared" si="59"/>
        <v>0</v>
      </c>
      <c r="L88" s="219">
        <f t="shared" si="59"/>
        <v>0</v>
      </c>
      <c r="M88" s="219">
        <f t="shared" si="59"/>
        <v>0</v>
      </c>
      <c r="N88" s="219">
        <f t="shared" si="59"/>
        <v>0</v>
      </c>
      <c r="O88" s="219">
        <f t="shared" si="59"/>
        <v>0</v>
      </c>
      <c r="P88" s="219">
        <f>IF(OR(P63=0,P8=0),0,(P74+P81+P82+P84+P85)/P8*4.62%*(P24-P8)*(P21-P22))</f>
        <v>0</v>
      </c>
      <c r="Q88" s="219">
        <f>IF(OR(Q63=0,Q8=0),0,(Q74+Q81+Q82+Q84+Q85)/Q8*4.62%*(Q24-Q8)*(Q21-Q22))</f>
        <v>0</v>
      </c>
      <c r="R88" s="219">
        <f>IF(OR(R63=0,R8=0),0,(R74+R81+R82+R84+R85)/R8*4.62%*(R24-R8)*(R21-R22))</f>
        <v>0</v>
      </c>
      <c r="S88" s="131">
        <f t="shared" si="11"/>
        <v>0</v>
      </c>
      <c r="T88" s="92"/>
      <c r="U88" s="92"/>
      <c r="V88" s="92"/>
      <c r="W88" s="92"/>
      <c r="X88" s="92"/>
      <c r="Y88" s="92"/>
    </row>
    <row r="89" spans="1:25" ht="14" thickBot="1">
      <c r="A89" s="442"/>
      <c r="B89" s="158">
        <f t="shared" si="13"/>
        <v>89</v>
      </c>
      <c r="C89" s="482"/>
      <c r="D89" s="482"/>
      <c r="E89" s="482"/>
      <c r="F89" s="159" t="s">
        <v>194</v>
      </c>
      <c r="G89" s="220">
        <f>SUM(G74:G88)</f>
        <v>0</v>
      </c>
      <c r="H89" s="160">
        <f t="shared" ref="H89:R89" si="60">SUM(H74:H88)</f>
        <v>0</v>
      </c>
      <c r="I89" s="160">
        <f t="shared" si="60"/>
        <v>0</v>
      </c>
      <c r="J89" s="160">
        <f t="shared" si="60"/>
        <v>0</v>
      </c>
      <c r="K89" s="160">
        <f t="shared" si="60"/>
        <v>0</v>
      </c>
      <c r="L89" s="160">
        <f t="shared" si="60"/>
        <v>0</v>
      </c>
      <c r="M89" s="160">
        <f t="shared" si="60"/>
        <v>0</v>
      </c>
      <c r="N89" s="160">
        <f t="shared" si="60"/>
        <v>0</v>
      </c>
      <c r="O89" s="160">
        <f t="shared" si="60"/>
        <v>0</v>
      </c>
      <c r="P89" s="160">
        <f t="shared" si="60"/>
        <v>0</v>
      </c>
      <c r="Q89" s="160">
        <f t="shared" si="60"/>
        <v>0</v>
      </c>
      <c r="R89" s="160">
        <f t="shared" si="60"/>
        <v>0</v>
      </c>
      <c r="S89" s="161">
        <f t="shared" si="11"/>
        <v>0</v>
      </c>
      <c r="T89" s="92"/>
      <c r="U89" s="92"/>
      <c r="V89" s="92"/>
      <c r="W89" s="92"/>
      <c r="X89" s="92"/>
      <c r="Y89" s="92"/>
    </row>
    <row r="90" spans="1:25" ht="14" thickTop="1">
      <c r="A90" s="443"/>
      <c r="B90" s="23">
        <f>B89+1</f>
        <v>90</v>
      </c>
      <c r="C90"/>
      <c r="D90"/>
      <c r="E90"/>
      <c r="F90" s="190" t="s">
        <v>105</v>
      </c>
      <c r="G90" s="221">
        <f>G102/3</f>
        <v>0</v>
      </c>
      <c r="H90" s="113">
        <f t="shared" ref="H90:R90" si="61">H102/3</f>
        <v>0</v>
      </c>
      <c r="I90" s="113">
        <f t="shared" si="61"/>
        <v>0</v>
      </c>
      <c r="J90" s="113">
        <f t="shared" si="61"/>
        <v>0</v>
      </c>
      <c r="K90" s="113">
        <f t="shared" si="61"/>
        <v>0</v>
      </c>
      <c r="L90" s="113">
        <f t="shared" si="61"/>
        <v>0</v>
      </c>
      <c r="M90" s="113">
        <f t="shared" si="61"/>
        <v>0</v>
      </c>
      <c r="N90" s="113">
        <f t="shared" si="61"/>
        <v>0</v>
      </c>
      <c r="O90" s="113">
        <f t="shared" si="61"/>
        <v>0</v>
      </c>
      <c r="P90" s="113">
        <f t="shared" si="61"/>
        <v>0</v>
      </c>
      <c r="Q90" s="113">
        <f t="shared" si="61"/>
        <v>0</v>
      </c>
      <c r="R90" s="113">
        <f t="shared" si="61"/>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2">SUM(H45:H64)-H90</f>
        <v>0</v>
      </c>
      <c r="I91" s="113">
        <f t="shared" si="62"/>
        <v>0</v>
      </c>
      <c r="J91" s="113">
        <f t="shared" si="62"/>
        <v>0</v>
      </c>
      <c r="K91" s="113">
        <f t="shared" si="62"/>
        <v>0</v>
      </c>
      <c r="L91" s="113">
        <f t="shared" si="62"/>
        <v>0</v>
      </c>
      <c r="M91" s="113">
        <f t="shared" si="62"/>
        <v>0</v>
      </c>
      <c r="N91" s="113">
        <f t="shared" si="62"/>
        <v>0</v>
      </c>
      <c r="O91" s="113">
        <f t="shared" si="62"/>
        <v>0</v>
      </c>
      <c r="P91" s="113">
        <f t="shared" si="62"/>
        <v>0</v>
      </c>
      <c r="Q91" s="113">
        <f t="shared" si="62"/>
        <v>0</v>
      </c>
      <c r="R91" s="113">
        <f t="shared" si="62"/>
        <v>0</v>
      </c>
      <c r="S91" s="109">
        <f>SUM(G91:R91)</f>
        <v>0</v>
      </c>
      <c r="T91" s="92"/>
      <c r="U91" s="92"/>
      <c r="V91" s="92"/>
      <c r="W91" s="92"/>
      <c r="X91" s="92"/>
      <c r="Y91" s="92"/>
    </row>
    <row r="92" spans="1:25" ht="13">
      <c r="A92" s="443"/>
      <c r="B92" s="23">
        <f t="shared" ref="B92:B108" si="63">B91+1</f>
        <v>92</v>
      </c>
      <c r="C92"/>
      <c r="D92"/>
      <c r="E92"/>
      <c r="F92" s="191" t="s">
        <v>101</v>
      </c>
      <c r="G92" s="222">
        <f>ROUND(G91*8%,0)</f>
        <v>0</v>
      </c>
      <c r="H92" s="114">
        <f t="shared" ref="H92:R92" si="64">ROUND(H91*8%,0)</f>
        <v>0</v>
      </c>
      <c r="I92" s="114">
        <f t="shared" si="64"/>
        <v>0</v>
      </c>
      <c r="J92" s="114">
        <f t="shared" si="64"/>
        <v>0</v>
      </c>
      <c r="K92" s="114">
        <f t="shared" si="64"/>
        <v>0</v>
      </c>
      <c r="L92" s="114">
        <f t="shared" si="64"/>
        <v>0</v>
      </c>
      <c r="M92" s="114">
        <f t="shared" si="64"/>
        <v>0</v>
      </c>
      <c r="N92" s="114">
        <f t="shared" si="64"/>
        <v>0</v>
      </c>
      <c r="O92" s="114">
        <f t="shared" si="64"/>
        <v>0</v>
      </c>
      <c r="P92" s="114">
        <f t="shared" si="64"/>
        <v>0</v>
      </c>
      <c r="Q92" s="114">
        <f t="shared" si="64"/>
        <v>0</v>
      </c>
      <c r="R92" s="114">
        <f t="shared" si="64"/>
        <v>0</v>
      </c>
      <c r="S92" s="111">
        <f>SUM(G92:R92)</f>
        <v>0</v>
      </c>
      <c r="T92" s="92"/>
      <c r="U92" s="92"/>
      <c r="V92" s="92"/>
      <c r="W92" s="92"/>
      <c r="X92" s="92"/>
      <c r="Y92" s="92"/>
    </row>
    <row r="93" spans="1:25" ht="13">
      <c r="A93" s="443"/>
      <c r="B93" s="23">
        <f t="shared" si="63"/>
        <v>93</v>
      </c>
      <c r="C93"/>
      <c r="D93"/>
      <c r="E93"/>
      <c r="F93" s="191" t="s">
        <v>102</v>
      </c>
      <c r="G93" s="222">
        <f>G91-G92</f>
        <v>0</v>
      </c>
      <c r="H93" s="114">
        <f t="shared" ref="H93:R93" si="65">H91-H92</f>
        <v>0</v>
      </c>
      <c r="I93" s="114">
        <f t="shared" si="65"/>
        <v>0</v>
      </c>
      <c r="J93" s="114">
        <f t="shared" si="65"/>
        <v>0</v>
      </c>
      <c r="K93" s="114">
        <f t="shared" si="65"/>
        <v>0</v>
      </c>
      <c r="L93" s="114">
        <f t="shared" si="65"/>
        <v>0</v>
      </c>
      <c r="M93" s="114">
        <f t="shared" si="65"/>
        <v>0</v>
      </c>
      <c r="N93" s="114">
        <f t="shared" si="65"/>
        <v>0</v>
      </c>
      <c r="O93" s="114">
        <f t="shared" si="65"/>
        <v>0</v>
      </c>
      <c r="P93" s="114">
        <f t="shared" si="65"/>
        <v>0</v>
      </c>
      <c r="Q93" s="114">
        <f t="shared" si="65"/>
        <v>0</v>
      </c>
      <c r="R93" s="114">
        <f t="shared" si="65"/>
        <v>0</v>
      </c>
      <c r="S93" s="111">
        <f>SUM(G93:R93)</f>
        <v>0</v>
      </c>
      <c r="T93" s="92"/>
      <c r="U93" s="92"/>
      <c r="V93" s="92"/>
      <c r="W93" s="92"/>
      <c r="X93" s="92"/>
      <c r="Y93" s="92"/>
    </row>
    <row r="94" spans="1:25" ht="13">
      <c r="A94" s="443"/>
      <c r="B94" s="23">
        <f t="shared" si="63"/>
        <v>94</v>
      </c>
      <c r="C94"/>
      <c r="D94"/>
      <c r="E94"/>
      <c r="F94" s="191" t="s">
        <v>115</v>
      </c>
      <c r="G94" s="222">
        <f>TRUNC((G93-G27)/10)*10</f>
        <v>0</v>
      </c>
      <c r="H94" s="222">
        <f t="shared" ref="H94:R94" si="66">TRUNC((H93-H27)/10)*10</f>
        <v>0</v>
      </c>
      <c r="I94" s="222">
        <f t="shared" si="66"/>
        <v>0</v>
      </c>
      <c r="J94" s="222">
        <f t="shared" si="66"/>
        <v>0</v>
      </c>
      <c r="K94" s="222">
        <f t="shared" si="66"/>
        <v>0</v>
      </c>
      <c r="L94" s="222">
        <f t="shared" si="66"/>
        <v>0</v>
      </c>
      <c r="M94" s="222">
        <f t="shared" si="66"/>
        <v>0</v>
      </c>
      <c r="N94" s="222">
        <f t="shared" si="66"/>
        <v>0</v>
      </c>
      <c r="O94" s="222">
        <f t="shared" si="66"/>
        <v>0</v>
      </c>
      <c r="P94" s="222">
        <f t="shared" si="66"/>
        <v>0</v>
      </c>
      <c r="Q94" s="222">
        <f t="shared" si="66"/>
        <v>0</v>
      </c>
      <c r="R94" s="222">
        <f t="shared" si="66"/>
        <v>0</v>
      </c>
      <c r="S94" s="111"/>
      <c r="T94" s="92"/>
      <c r="U94" s="92"/>
      <c r="V94" s="92"/>
      <c r="W94" s="92"/>
      <c r="X94" s="92"/>
      <c r="Y94" s="92"/>
    </row>
    <row r="95" spans="1:25" ht="13">
      <c r="A95" s="443"/>
      <c r="B95" s="23">
        <f t="shared" si="63"/>
        <v>95</v>
      </c>
      <c r="C95"/>
      <c r="D95"/>
      <c r="E95"/>
      <c r="F95" s="191" t="s">
        <v>103</v>
      </c>
      <c r="G95" s="222">
        <f>TRUNC(G94*G26/100)</f>
        <v>0</v>
      </c>
      <c r="H95" s="222">
        <f t="shared" ref="H95:R95" si="67">TRUNC(H94*H26/100)</f>
        <v>0</v>
      </c>
      <c r="I95" s="222">
        <f t="shared" si="67"/>
        <v>0</v>
      </c>
      <c r="J95" s="222">
        <f t="shared" si="67"/>
        <v>0</v>
      </c>
      <c r="K95" s="222">
        <f t="shared" si="67"/>
        <v>0</v>
      </c>
      <c r="L95" s="222">
        <f t="shared" si="67"/>
        <v>0</v>
      </c>
      <c r="M95" s="222">
        <f t="shared" si="67"/>
        <v>0</v>
      </c>
      <c r="N95" s="222">
        <f t="shared" si="67"/>
        <v>0</v>
      </c>
      <c r="O95" s="222">
        <f t="shared" si="67"/>
        <v>0</v>
      </c>
      <c r="P95" s="222">
        <f t="shared" si="67"/>
        <v>0</v>
      </c>
      <c r="Q95" s="222">
        <f t="shared" si="67"/>
        <v>0</v>
      </c>
      <c r="R95" s="222">
        <f t="shared" si="67"/>
        <v>0</v>
      </c>
      <c r="S95" s="111">
        <f t="shared" ref="S95:S104" si="68">SUM(G95:R95)</f>
        <v>0</v>
      </c>
      <c r="T95" s="92"/>
      <c r="U95" s="92"/>
      <c r="V95" s="92"/>
      <c r="W95" s="92"/>
      <c r="X95" s="92"/>
      <c r="Y95" s="92"/>
    </row>
    <row r="96" spans="1:25" ht="13">
      <c r="A96" s="243"/>
      <c r="B96" s="23">
        <f t="shared" si="63"/>
        <v>96</v>
      </c>
      <c r="C96"/>
      <c r="D96"/>
      <c r="E96"/>
      <c r="F96" s="191" t="s">
        <v>449</v>
      </c>
      <c r="G96" s="222">
        <f>SUM(G45:G63)+SUM(G68:G72)</f>
        <v>0</v>
      </c>
      <c r="H96" s="222">
        <f t="shared" ref="H96:K96" si="69">SUM(H45:H63)+SUM(H68:H72)</f>
        <v>0</v>
      </c>
      <c r="I96" s="222">
        <f t="shared" si="69"/>
        <v>0</v>
      </c>
      <c r="J96" s="222">
        <f t="shared" si="69"/>
        <v>0</v>
      </c>
      <c r="K96" s="222">
        <f t="shared" si="69"/>
        <v>0</v>
      </c>
      <c r="L96" s="143" t="s">
        <v>220</v>
      </c>
      <c r="M96" s="165"/>
      <c r="N96" s="165"/>
      <c r="O96" s="165"/>
      <c r="P96" s="165"/>
      <c r="Q96" s="165"/>
      <c r="R96" s="165"/>
      <c r="S96" s="111">
        <f>A96+SUM(G96:K96)</f>
        <v>0</v>
      </c>
      <c r="T96" s="92"/>
      <c r="U96" s="92"/>
      <c r="V96" s="92"/>
      <c r="W96" s="92"/>
      <c r="X96" s="92"/>
      <c r="Y96" s="92"/>
    </row>
    <row r="97" spans="1:25" ht="13">
      <c r="A97" s="444"/>
      <c r="B97" s="23">
        <f t="shared" si="63"/>
        <v>97</v>
      </c>
      <c r="C97"/>
      <c r="D97"/>
      <c r="E97"/>
      <c r="F97" s="191" t="s">
        <v>450</v>
      </c>
      <c r="G97" s="144" t="s">
        <v>220</v>
      </c>
      <c r="H97" s="165"/>
      <c r="I97" s="165"/>
      <c r="J97" s="165"/>
      <c r="K97" s="165"/>
      <c r="L97" s="114">
        <f>SUM(L45:L63)+SUM(L68:L72)</f>
        <v>0</v>
      </c>
      <c r="M97" s="114">
        <f t="shared" ref="M97:R97" si="70">SUM(M45:M63)+SUM(M68:M72)</f>
        <v>0</v>
      </c>
      <c r="N97" s="114">
        <f t="shared" si="70"/>
        <v>0</v>
      </c>
      <c r="O97" s="114">
        <f t="shared" si="70"/>
        <v>0</v>
      </c>
      <c r="P97" s="114">
        <f t="shared" si="70"/>
        <v>0</v>
      </c>
      <c r="Q97" s="114">
        <f t="shared" si="70"/>
        <v>0</v>
      </c>
      <c r="R97" s="114">
        <f t="shared" si="70"/>
        <v>0</v>
      </c>
      <c r="S97" s="111">
        <f>SUM(L97:R97)</f>
        <v>0</v>
      </c>
      <c r="T97" s="92"/>
      <c r="U97" s="92"/>
      <c r="V97" s="92"/>
      <c r="W97" s="92"/>
      <c r="X97" s="92"/>
      <c r="Y97" s="92"/>
    </row>
    <row r="98" spans="1:25" ht="13">
      <c r="A98" s="443"/>
      <c r="B98" s="23">
        <f t="shared" si="63"/>
        <v>98</v>
      </c>
      <c r="C98"/>
      <c r="D98"/>
      <c r="E98"/>
      <c r="F98" s="191" t="s">
        <v>193</v>
      </c>
      <c r="G98" s="222">
        <f>G89</f>
        <v>0</v>
      </c>
      <c r="H98" s="114">
        <f t="shared" ref="H98:R98" si="71">H89</f>
        <v>0</v>
      </c>
      <c r="I98" s="114">
        <f t="shared" si="71"/>
        <v>0</v>
      </c>
      <c r="J98" s="114">
        <f t="shared" si="71"/>
        <v>0</v>
      </c>
      <c r="K98" s="114">
        <f t="shared" si="71"/>
        <v>0</v>
      </c>
      <c r="L98" s="114">
        <f t="shared" si="71"/>
        <v>0</v>
      </c>
      <c r="M98" s="114">
        <f t="shared" si="71"/>
        <v>0</v>
      </c>
      <c r="N98" s="114">
        <f t="shared" si="71"/>
        <v>0</v>
      </c>
      <c r="O98" s="114">
        <f t="shared" si="71"/>
        <v>0</v>
      </c>
      <c r="P98" s="114">
        <f t="shared" si="71"/>
        <v>0</v>
      </c>
      <c r="Q98" s="114">
        <f t="shared" si="71"/>
        <v>0</v>
      </c>
      <c r="R98" s="114">
        <f t="shared" si="71"/>
        <v>0</v>
      </c>
      <c r="S98" s="111">
        <f t="shared" si="68"/>
        <v>0</v>
      </c>
      <c r="T98" s="92"/>
      <c r="U98" s="92"/>
      <c r="V98" s="92"/>
      <c r="W98" s="92"/>
      <c r="X98" s="92"/>
      <c r="Y98" s="92"/>
    </row>
    <row r="99" spans="1:25" ht="13">
      <c r="A99" s="443"/>
      <c r="B99" s="23">
        <f t="shared" si="63"/>
        <v>99</v>
      </c>
      <c r="C99"/>
      <c r="D99"/>
      <c r="E99"/>
      <c r="F99" s="191" t="s">
        <v>197</v>
      </c>
      <c r="G99" s="222">
        <f>G98*2</f>
        <v>0</v>
      </c>
      <c r="H99" s="114">
        <f t="shared" ref="H99:R99" si="72">H98*2</f>
        <v>0</v>
      </c>
      <c r="I99" s="114">
        <f t="shared" si="72"/>
        <v>0</v>
      </c>
      <c r="J99" s="114">
        <f t="shared" si="72"/>
        <v>0</v>
      </c>
      <c r="K99" s="114">
        <f t="shared" si="72"/>
        <v>0</v>
      </c>
      <c r="L99" s="114">
        <f t="shared" si="72"/>
        <v>0</v>
      </c>
      <c r="M99" s="114">
        <f t="shared" si="72"/>
        <v>0</v>
      </c>
      <c r="N99" s="114">
        <f t="shared" si="72"/>
        <v>0</v>
      </c>
      <c r="O99" s="114">
        <f t="shared" si="72"/>
        <v>0</v>
      </c>
      <c r="P99" s="114">
        <f t="shared" si="72"/>
        <v>0</v>
      </c>
      <c r="Q99" s="114">
        <f t="shared" si="72"/>
        <v>0</v>
      </c>
      <c r="R99" s="114">
        <f t="shared" si="72"/>
        <v>0</v>
      </c>
      <c r="S99" s="111">
        <f t="shared" si="68"/>
        <v>0</v>
      </c>
      <c r="T99" s="92"/>
      <c r="U99" s="92"/>
      <c r="V99" s="92"/>
      <c r="W99" s="92"/>
      <c r="X99" s="92"/>
      <c r="Y99" s="92"/>
    </row>
    <row r="100" spans="1:25" ht="13">
      <c r="A100" s="443"/>
      <c r="B100" s="23">
        <f t="shared" si="63"/>
        <v>100</v>
      </c>
      <c r="C100"/>
      <c r="D100"/>
      <c r="E100"/>
      <c r="F100" s="191" t="s">
        <v>46</v>
      </c>
      <c r="G100" s="222">
        <f>G102*2/3</f>
        <v>0</v>
      </c>
      <c r="H100" s="114">
        <f t="shared" ref="H100:R100" si="73">H102*2/3</f>
        <v>0</v>
      </c>
      <c r="I100" s="114">
        <f t="shared" si="73"/>
        <v>0</v>
      </c>
      <c r="J100" s="114">
        <f t="shared" si="73"/>
        <v>0</v>
      </c>
      <c r="K100" s="114">
        <f t="shared" si="73"/>
        <v>0</v>
      </c>
      <c r="L100" s="114">
        <f t="shared" si="73"/>
        <v>0</v>
      </c>
      <c r="M100" s="114">
        <f t="shared" si="73"/>
        <v>0</v>
      </c>
      <c r="N100" s="114">
        <f t="shared" si="73"/>
        <v>0</v>
      </c>
      <c r="O100" s="114">
        <f t="shared" si="73"/>
        <v>0</v>
      </c>
      <c r="P100" s="114">
        <f t="shared" si="73"/>
        <v>0</v>
      </c>
      <c r="Q100" s="114">
        <f t="shared" si="73"/>
        <v>0</v>
      </c>
      <c r="R100" s="114">
        <f t="shared" si="73"/>
        <v>0</v>
      </c>
      <c r="S100" s="111">
        <f t="shared" si="68"/>
        <v>0</v>
      </c>
      <c r="T100" s="92"/>
      <c r="U100" s="92"/>
      <c r="V100" s="92"/>
      <c r="W100" s="92"/>
      <c r="X100" s="92"/>
      <c r="Y100" s="92"/>
    </row>
    <row r="101" spans="1:25" ht="13">
      <c r="A101" s="443"/>
      <c r="B101" s="23">
        <f t="shared" si="63"/>
        <v>101</v>
      </c>
      <c r="C101"/>
      <c r="D101"/>
      <c r="E101"/>
      <c r="F101" s="191" t="s">
        <v>120</v>
      </c>
      <c r="G101" s="222">
        <f>G98+G99</f>
        <v>0</v>
      </c>
      <c r="H101" s="114">
        <f t="shared" ref="H101:R101" si="74">H98+H99</f>
        <v>0</v>
      </c>
      <c r="I101" s="114">
        <f t="shared" si="74"/>
        <v>0</v>
      </c>
      <c r="J101" s="114">
        <f t="shared" si="74"/>
        <v>0</v>
      </c>
      <c r="K101" s="114">
        <f t="shared" si="74"/>
        <v>0</v>
      </c>
      <c r="L101" s="114">
        <f t="shared" si="74"/>
        <v>0</v>
      </c>
      <c r="M101" s="114">
        <f t="shared" si="74"/>
        <v>0</v>
      </c>
      <c r="N101" s="114">
        <f t="shared" si="74"/>
        <v>0</v>
      </c>
      <c r="O101" s="114">
        <f t="shared" si="74"/>
        <v>0</v>
      </c>
      <c r="P101" s="114">
        <f t="shared" si="74"/>
        <v>0</v>
      </c>
      <c r="Q101" s="114">
        <f t="shared" si="74"/>
        <v>0</v>
      </c>
      <c r="R101" s="114">
        <f t="shared" si="74"/>
        <v>0</v>
      </c>
      <c r="S101" s="111">
        <f t="shared" si="68"/>
        <v>0</v>
      </c>
      <c r="T101" s="92"/>
      <c r="U101" s="92"/>
      <c r="V101" s="92"/>
      <c r="W101" s="92"/>
      <c r="X101" s="92"/>
      <c r="Y101" s="92"/>
    </row>
    <row r="102" spans="1:25" ht="13">
      <c r="A102" s="443"/>
      <c r="B102" s="23">
        <f t="shared" si="63"/>
        <v>102</v>
      </c>
      <c r="C102"/>
      <c r="D102"/>
      <c r="E102"/>
      <c r="F102" s="191" t="s">
        <v>121</v>
      </c>
      <c r="G102" s="222">
        <f t="shared" ref="G102:R102" si="75">90*(((G8*G3)&gt;=9/37)+((G8*G3)&gt;=18/37)+((G8*G3)&gt;=27/37))</f>
        <v>0</v>
      </c>
      <c r="H102" s="222">
        <f t="shared" si="75"/>
        <v>0</v>
      </c>
      <c r="I102" s="222">
        <f t="shared" si="75"/>
        <v>0</v>
      </c>
      <c r="J102" s="222">
        <f t="shared" si="75"/>
        <v>0</v>
      </c>
      <c r="K102" s="222">
        <f t="shared" si="75"/>
        <v>0</v>
      </c>
      <c r="L102" s="114">
        <f t="shared" si="75"/>
        <v>0</v>
      </c>
      <c r="M102" s="114">
        <f t="shared" si="75"/>
        <v>0</v>
      </c>
      <c r="N102" s="114">
        <f t="shared" si="75"/>
        <v>0</v>
      </c>
      <c r="O102" s="114">
        <f t="shared" si="75"/>
        <v>0</v>
      </c>
      <c r="P102" s="114">
        <f t="shared" si="75"/>
        <v>0</v>
      </c>
      <c r="Q102" s="114">
        <f t="shared" si="75"/>
        <v>0</v>
      </c>
      <c r="R102" s="114">
        <f t="shared" si="75"/>
        <v>0</v>
      </c>
      <c r="S102" s="111">
        <f t="shared" si="68"/>
        <v>0</v>
      </c>
      <c r="T102" s="92"/>
      <c r="U102" s="92"/>
      <c r="V102" s="92"/>
      <c r="W102" s="92"/>
      <c r="X102" s="92"/>
      <c r="Y102" s="92"/>
    </row>
    <row r="103" spans="1:25" ht="13">
      <c r="A103" s="443"/>
      <c r="B103" s="23">
        <f t="shared" si="63"/>
        <v>103</v>
      </c>
      <c r="C103"/>
      <c r="D103"/>
      <c r="E103"/>
      <c r="F103" s="191" t="s">
        <v>144</v>
      </c>
      <c r="G103" s="222">
        <f t="shared" ref="G103:R103" si="76">IF(OR(LEFT(G5)="P",LEFT(G5)="E"),ROUND(ROUND(ROUND(VLOOKUP(VALUE(MID(G5,2,2)),Skalalontabel12,7,0)*G6,0)/12,2)*15%*MIN(1,G8)*G3,2),0)</f>
        <v>0</v>
      </c>
      <c r="H103" s="222">
        <f t="shared" si="76"/>
        <v>0</v>
      </c>
      <c r="I103" s="222">
        <f t="shared" si="76"/>
        <v>0</v>
      </c>
      <c r="J103" s="222">
        <f t="shared" si="76"/>
        <v>0</v>
      </c>
      <c r="K103" s="222">
        <f t="shared" si="76"/>
        <v>0</v>
      </c>
      <c r="L103" s="222">
        <f t="shared" si="76"/>
        <v>0</v>
      </c>
      <c r="M103" s="222">
        <f t="shared" si="76"/>
        <v>0</v>
      </c>
      <c r="N103" s="222">
        <f t="shared" si="76"/>
        <v>0</v>
      </c>
      <c r="O103" s="222">
        <f t="shared" si="76"/>
        <v>0</v>
      </c>
      <c r="P103" s="222">
        <f t="shared" si="76"/>
        <v>0</v>
      </c>
      <c r="Q103" s="222">
        <f t="shared" si="76"/>
        <v>0</v>
      </c>
      <c r="R103" s="222">
        <f t="shared" si="76"/>
        <v>0</v>
      </c>
      <c r="S103" s="111">
        <f t="shared" si="68"/>
        <v>0</v>
      </c>
      <c r="T103" s="92"/>
      <c r="U103" s="92"/>
      <c r="V103" s="92"/>
      <c r="W103" s="92"/>
      <c r="X103" s="92"/>
      <c r="Y103" s="92"/>
    </row>
    <row r="104" spans="1:25" ht="13">
      <c r="A104" s="443"/>
      <c r="B104" s="23">
        <f t="shared" si="63"/>
        <v>104</v>
      </c>
      <c r="C104"/>
      <c r="D104"/>
      <c r="E104"/>
      <c r="F104" s="191" t="s">
        <v>104</v>
      </c>
      <c r="G104" s="114">
        <f t="shared" ref="G104:R104" si="77">108.35*(G8&gt;0)</f>
        <v>0</v>
      </c>
      <c r="H104" s="114">
        <f t="shared" si="77"/>
        <v>0</v>
      </c>
      <c r="I104" s="114">
        <f t="shared" si="77"/>
        <v>0</v>
      </c>
      <c r="J104" s="114">
        <f t="shared" si="77"/>
        <v>0</v>
      </c>
      <c r="K104" s="114">
        <f t="shared" si="77"/>
        <v>0</v>
      </c>
      <c r="L104" s="114">
        <f t="shared" si="77"/>
        <v>0</v>
      </c>
      <c r="M104" s="114">
        <f t="shared" si="77"/>
        <v>0</v>
      </c>
      <c r="N104" s="114">
        <f t="shared" si="77"/>
        <v>0</v>
      </c>
      <c r="O104" s="114">
        <f t="shared" si="77"/>
        <v>0</v>
      </c>
      <c r="P104" s="114">
        <f t="shared" si="77"/>
        <v>0</v>
      </c>
      <c r="Q104" s="114">
        <f t="shared" si="77"/>
        <v>0</v>
      </c>
      <c r="R104" s="114">
        <f t="shared" si="77"/>
        <v>0</v>
      </c>
      <c r="S104" s="111">
        <f t="shared" si="68"/>
        <v>0</v>
      </c>
      <c r="T104" s="92"/>
      <c r="U104" s="92"/>
      <c r="V104" s="92"/>
      <c r="W104" s="92"/>
      <c r="X104" s="92"/>
      <c r="Y104" s="92"/>
    </row>
    <row r="105" spans="1:25" ht="13">
      <c r="A105" s="443"/>
      <c r="B105" s="23">
        <f t="shared" si="63"/>
        <v>105</v>
      </c>
      <c r="C105"/>
      <c r="D105"/>
      <c r="E105"/>
      <c r="F105" s="192" t="s">
        <v>228</v>
      </c>
      <c r="G105" s="223">
        <f>G73-(G95+G90+G92+G104)</f>
        <v>0</v>
      </c>
      <c r="H105" s="223">
        <f t="shared" ref="H105:R105" si="78">H73-(H95+H90+H92+H104)</f>
        <v>0</v>
      </c>
      <c r="I105" s="223">
        <f t="shared" si="78"/>
        <v>0</v>
      </c>
      <c r="J105" s="223">
        <f t="shared" si="78"/>
        <v>0</v>
      </c>
      <c r="K105" s="223">
        <f t="shared" si="78"/>
        <v>0</v>
      </c>
      <c r="L105" s="223">
        <f t="shared" si="78"/>
        <v>0</v>
      </c>
      <c r="M105" s="223">
        <f t="shared" si="78"/>
        <v>0</v>
      </c>
      <c r="N105" s="223">
        <f t="shared" si="78"/>
        <v>0</v>
      </c>
      <c r="O105" s="223">
        <f t="shared" si="78"/>
        <v>0</v>
      </c>
      <c r="P105" s="223">
        <f t="shared" si="78"/>
        <v>0</v>
      </c>
      <c r="Q105" s="223">
        <f t="shared" si="78"/>
        <v>0</v>
      </c>
      <c r="R105" s="223">
        <f t="shared" si="78"/>
        <v>0</v>
      </c>
      <c r="S105" s="119">
        <f>SUM(G105:R105)</f>
        <v>0</v>
      </c>
      <c r="T105" s="92"/>
      <c r="U105" s="91"/>
      <c r="V105" s="92"/>
      <c r="W105" s="92"/>
      <c r="X105" s="92"/>
      <c r="Y105" s="92"/>
    </row>
    <row r="106" spans="1:25" ht="13">
      <c r="A106" s="244"/>
      <c r="B106" s="23">
        <f t="shared" si="63"/>
        <v>106</v>
      </c>
      <c r="C106"/>
      <c r="D106"/>
      <c r="E106"/>
      <c r="F106" s="121" t="s">
        <v>373</v>
      </c>
      <c r="G106" s="142">
        <f>(G96+G89)*(1-12/260*G21)</f>
        <v>0</v>
      </c>
      <c r="H106" s="142">
        <f t="shared" ref="H106:K106" si="79">(H96+H89)*(1-12/260*H21)</f>
        <v>0</v>
      </c>
      <c r="I106" s="142">
        <f t="shared" si="79"/>
        <v>0</v>
      </c>
      <c r="J106" s="142">
        <f t="shared" si="79"/>
        <v>0</v>
      </c>
      <c r="K106" s="142">
        <f t="shared" si="79"/>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3"/>
        <v>107</v>
      </c>
      <c r="C107"/>
      <c r="D107"/>
      <c r="E107"/>
      <c r="F107" s="193" t="s">
        <v>374</v>
      </c>
      <c r="G107" s="144" t="s">
        <v>233</v>
      </c>
      <c r="H107" s="139"/>
      <c r="I107" s="139"/>
      <c r="J107" s="139"/>
      <c r="K107" s="141"/>
      <c r="L107" s="142">
        <f>(L97+L89)*(1-12/260*L21)</f>
        <v>0</v>
      </c>
      <c r="M107" s="142">
        <f t="shared" ref="M107:R107" si="80">(M97+M89)*(1-12/260*M21)</f>
        <v>0</v>
      </c>
      <c r="N107" s="142">
        <f t="shared" si="80"/>
        <v>0</v>
      </c>
      <c r="O107" s="142">
        <f t="shared" si="80"/>
        <v>0</v>
      </c>
      <c r="P107" s="142">
        <f t="shared" si="80"/>
        <v>0</v>
      </c>
      <c r="Q107" s="142">
        <f t="shared" si="80"/>
        <v>0</v>
      </c>
      <c r="R107" s="142">
        <f t="shared" si="80"/>
        <v>0</v>
      </c>
      <c r="S107" s="145">
        <f>SUM(L107:R107)</f>
        <v>0</v>
      </c>
      <c r="T107" s="92"/>
      <c r="U107" s="130"/>
      <c r="V107" s="92"/>
      <c r="W107" s="92"/>
      <c r="X107" s="92"/>
      <c r="Y107" s="92"/>
    </row>
    <row r="108" spans="1:25" s="124" customFormat="1" ht="13">
      <c r="A108" s="445"/>
      <c r="B108" s="23">
        <f t="shared" si="63"/>
        <v>108</v>
      </c>
      <c r="C108"/>
      <c r="D108"/>
      <c r="E108"/>
      <c r="F108" s="136" t="s">
        <v>234</v>
      </c>
      <c r="G108" s="224">
        <f t="shared" ref="G108:R108" si="81">IF(G8&gt;0,(G45+G46+G49*$D49+G50*$D50+G51*$D51+G52*$D52+G53*$D53+G54*$D54+G55+G56+G57+G58+G60*$D60)/G8/G3,0)</f>
        <v>0</v>
      </c>
      <c r="H108" s="224">
        <f t="shared" si="81"/>
        <v>0</v>
      </c>
      <c r="I108" s="224">
        <f t="shared" si="81"/>
        <v>0</v>
      </c>
      <c r="J108" s="224">
        <f t="shared" si="81"/>
        <v>0</v>
      </c>
      <c r="K108" s="224">
        <f t="shared" si="81"/>
        <v>0</v>
      </c>
      <c r="L108" s="224">
        <f t="shared" si="81"/>
        <v>0</v>
      </c>
      <c r="M108" s="224">
        <f t="shared" si="81"/>
        <v>0</v>
      </c>
      <c r="N108" s="224">
        <f t="shared" si="81"/>
        <v>0</v>
      </c>
      <c r="O108" s="224">
        <f t="shared" si="81"/>
        <v>0</v>
      </c>
      <c r="P108" s="224">
        <f t="shared" si="81"/>
        <v>0</v>
      </c>
      <c r="Q108" s="224">
        <f t="shared" si="81"/>
        <v>0</v>
      </c>
      <c r="R108" s="224">
        <f t="shared" si="81"/>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2">IF(G8&gt;0,(G74+G77*$D77+G78*$D78+G79*$D79+G80*$D80+G81*$D81+G82*$D82+G83+G84+G85)/G8/G3,0)</f>
        <v>0</v>
      </c>
      <c r="H109" s="125">
        <f t="shared" si="82"/>
        <v>0</v>
      </c>
      <c r="I109" s="125">
        <f t="shared" si="82"/>
        <v>0</v>
      </c>
      <c r="J109" s="125">
        <f t="shared" si="82"/>
        <v>0</v>
      </c>
      <c r="K109" s="125">
        <f t="shared" si="82"/>
        <v>0</v>
      </c>
      <c r="L109" s="125">
        <f t="shared" si="82"/>
        <v>0</v>
      </c>
      <c r="M109" s="125">
        <f t="shared" si="82"/>
        <v>0</v>
      </c>
      <c r="N109" s="125">
        <f t="shared" si="82"/>
        <v>0</v>
      </c>
      <c r="O109" s="125">
        <f t="shared" si="82"/>
        <v>0</v>
      </c>
      <c r="P109" s="125">
        <f t="shared" si="82"/>
        <v>0</v>
      </c>
      <c r="Q109" s="125">
        <f t="shared" si="82"/>
        <v>0</v>
      </c>
      <c r="R109" s="125">
        <f t="shared" si="82"/>
        <v>0</v>
      </c>
      <c r="S109" s="126"/>
      <c r="T109" s="92"/>
      <c r="U109" s="92"/>
      <c r="V109" s="92"/>
      <c r="W109" s="92"/>
      <c r="X109" s="92"/>
      <c r="Y109" s="92"/>
    </row>
    <row r="110" spans="1:25" ht="14" thickTop="1">
      <c r="A110" s="446"/>
      <c r="B110" s="132">
        <f>B109+1</f>
        <v>110</v>
      </c>
      <c r="C110"/>
      <c r="D110"/>
      <c r="E110"/>
      <c r="F110" s="133" t="s">
        <v>97</v>
      </c>
      <c r="G110" s="157">
        <f t="shared" ref="G110:R110" si="83">IF(LEFT(G$4)&lt;&gt;"b",IF(G$9&gt;=650,650*ROUND(16.38*G$6,2)/12,G$9*ROUND(16.38*G$6,2)/12),IF(G$9&gt;=750,750*ROUND(22.41*G$6,2)/12,G$9*ROUND(22.41*G$6,2)/12))</f>
        <v>0</v>
      </c>
      <c r="H110" s="157">
        <f t="shared" si="83"/>
        <v>0</v>
      </c>
      <c r="I110" s="157">
        <f t="shared" si="83"/>
        <v>0</v>
      </c>
      <c r="J110" s="157">
        <f t="shared" si="83"/>
        <v>0</v>
      </c>
      <c r="K110" s="157">
        <f t="shared" si="83"/>
        <v>0</v>
      </c>
      <c r="L110" s="157">
        <f t="shared" si="83"/>
        <v>0</v>
      </c>
      <c r="M110" s="157">
        <f t="shared" si="83"/>
        <v>0</v>
      </c>
      <c r="N110" s="157">
        <f t="shared" si="83"/>
        <v>0</v>
      </c>
      <c r="O110" s="157">
        <f t="shared" si="83"/>
        <v>0</v>
      </c>
      <c r="P110" s="157">
        <f t="shared" si="83"/>
        <v>0</v>
      </c>
      <c r="Q110" s="157">
        <f t="shared" si="83"/>
        <v>0</v>
      </c>
      <c r="R110" s="157">
        <f t="shared" si="83"/>
        <v>0</v>
      </c>
      <c r="S110" s="134" t="s">
        <v>199</v>
      </c>
      <c r="T110" s="92"/>
      <c r="U110" s="92"/>
      <c r="V110" s="92"/>
      <c r="W110" s="92"/>
      <c r="X110" s="92"/>
      <c r="Y110" s="92"/>
    </row>
    <row r="111" spans="1:25" ht="13">
      <c r="A111" s="446"/>
      <c r="B111" s="23">
        <f>B110+1</f>
        <v>111</v>
      </c>
      <c r="C111"/>
      <c r="D111"/>
      <c r="E111"/>
      <c r="F111" s="194" t="s">
        <v>98</v>
      </c>
      <c r="G111" s="115">
        <f t="shared" ref="G111:R111" si="84">IF(LEFT(G$4)&lt;&gt;"b",IF(G$9&gt;650,IF(G$9&gt;=700,50*ROUND(98.3*G$6,2)/12,(G$9-650)*ROUND(98.3*G$6,2)/12),0),IF(G$9&gt;750,IF(G$9&gt;=800,50*ROUND(65.53*G$6,2)/12,(G$9-750)*ROUND(65.53*G$6,2)/12),0))</f>
        <v>0</v>
      </c>
      <c r="H111" s="115">
        <f t="shared" si="84"/>
        <v>0</v>
      </c>
      <c r="I111" s="115">
        <f t="shared" si="84"/>
        <v>0</v>
      </c>
      <c r="J111" s="115">
        <f t="shared" si="84"/>
        <v>0</v>
      </c>
      <c r="K111" s="115">
        <f t="shared" si="84"/>
        <v>0</v>
      </c>
      <c r="L111" s="115">
        <f t="shared" si="84"/>
        <v>0</v>
      </c>
      <c r="M111" s="115">
        <f t="shared" si="84"/>
        <v>0</v>
      </c>
      <c r="N111" s="115">
        <f t="shared" si="84"/>
        <v>0</v>
      </c>
      <c r="O111" s="115">
        <f t="shared" si="84"/>
        <v>0</v>
      </c>
      <c r="P111" s="115">
        <f t="shared" si="84"/>
        <v>0</v>
      </c>
      <c r="Q111" s="115">
        <f t="shared" si="84"/>
        <v>0</v>
      </c>
      <c r="R111" s="115">
        <f t="shared" si="84"/>
        <v>0</v>
      </c>
      <c r="S111" s="116" t="s">
        <v>199</v>
      </c>
      <c r="T111" s="92"/>
      <c r="U111" s="92"/>
      <c r="V111" s="92"/>
      <c r="W111" s="92"/>
      <c r="X111" s="92"/>
      <c r="Y111" s="92"/>
    </row>
    <row r="112" spans="1:25" ht="13">
      <c r="A112" s="446"/>
      <c r="B112" s="23">
        <f>B111+1</f>
        <v>112</v>
      </c>
      <c r="C112"/>
      <c r="D112"/>
      <c r="E112"/>
      <c r="F112" s="194" t="s">
        <v>179</v>
      </c>
      <c r="G112" s="115">
        <f t="shared" ref="G112:R112" si="85">IF(LEFT(G$4)&lt;&gt;"b",IF(G$9&gt;700,IF(G$9&gt;=750,50*ROUND(131.07*G$6,2)/12,(G$9-700)*ROUND(131.07*G$6,2)/12),0),IF(G$9&gt;800,IF(G$9&gt;=835,35*ROUND(131.07*G$6,2)/12,(G$9-800)*ROUND(131.07*G$6,2)/12),0))</f>
        <v>0</v>
      </c>
      <c r="H112" s="115">
        <f t="shared" si="85"/>
        <v>0</v>
      </c>
      <c r="I112" s="115">
        <f t="shared" si="85"/>
        <v>0</v>
      </c>
      <c r="J112" s="115">
        <f t="shared" si="85"/>
        <v>0</v>
      </c>
      <c r="K112" s="115">
        <f t="shared" si="85"/>
        <v>0</v>
      </c>
      <c r="L112" s="115">
        <f t="shared" si="85"/>
        <v>0</v>
      </c>
      <c r="M112" s="115">
        <f t="shared" si="85"/>
        <v>0</v>
      </c>
      <c r="N112" s="115">
        <f t="shared" si="85"/>
        <v>0</v>
      </c>
      <c r="O112" s="115">
        <f t="shared" si="85"/>
        <v>0</v>
      </c>
      <c r="P112" s="115">
        <f t="shared" si="85"/>
        <v>0</v>
      </c>
      <c r="Q112" s="115">
        <f t="shared" si="85"/>
        <v>0</v>
      </c>
      <c r="R112" s="115">
        <f t="shared" si="85"/>
        <v>0</v>
      </c>
      <c r="S112" s="116" t="s">
        <v>199</v>
      </c>
      <c r="T112" s="92"/>
      <c r="U112" s="92"/>
      <c r="V112" s="92"/>
      <c r="W112" s="92"/>
      <c r="X112" s="92"/>
      <c r="Y112" s="92"/>
    </row>
    <row r="113" spans="1:25" ht="13">
      <c r="A113" s="446"/>
      <c r="B113" s="23">
        <f>B112+1</f>
        <v>113</v>
      </c>
      <c r="C113" s="483"/>
      <c r="D113" s="483"/>
      <c r="E113" s="483"/>
      <c r="F113" s="195" t="s">
        <v>180</v>
      </c>
      <c r="G113" s="117">
        <f t="shared" ref="G113:R113" si="86">IF(LEFT(G$4)&lt;&gt;"b",IF(G$9&gt;750,(G$9-750)*ROUND(163.83*G$6,2)/12,0),IF(G$9&gt;835,(G$9-835)*ROUND(163.83*G$6,2)/12,0))</f>
        <v>0</v>
      </c>
      <c r="H113" s="117">
        <f t="shared" si="86"/>
        <v>0</v>
      </c>
      <c r="I113" s="117">
        <f t="shared" si="86"/>
        <v>0</v>
      </c>
      <c r="J113" s="117">
        <f t="shared" si="86"/>
        <v>0</v>
      </c>
      <c r="K113" s="117">
        <f t="shared" si="86"/>
        <v>0</v>
      </c>
      <c r="L113" s="117">
        <f t="shared" si="86"/>
        <v>0</v>
      </c>
      <c r="M113" s="117">
        <f t="shared" si="86"/>
        <v>0</v>
      </c>
      <c r="N113" s="117">
        <f t="shared" si="86"/>
        <v>0</v>
      </c>
      <c r="O113" s="117">
        <f t="shared" si="86"/>
        <v>0</v>
      </c>
      <c r="P113" s="117">
        <f t="shared" si="86"/>
        <v>0</v>
      </c>
      <c r="Q113" s="117">
        <f t="shared" si="86"/>
        <v>0</v>
      </c>
      <c r="R113" s="117">
        <f t="shared" si="86"/>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7">"lin. 1, lin.2"&amp;IF($D49&gt;0,", lin.5","")&amp;IF($D50&gt;0,", lin.6","")&amp;IF($D51&gt;0,", lin.7","")&amp;IF($D52&gt;0,", lin.8","")&amp;IF($D53&gt;0,", lin.9","")&amp;IF($D54&gt;0,", lin.10","")&amp;", lin. 11 - lin. 14"&amp;IF($D60&gt;0,", lin.16","")</f>
        <v>lin. 1, lin.2, lin.8, lin. 11 - lin. 14, lin.16</v>
      </c>
      <c r="H139" s="577" t="str">
        <f t="shared" si="87"/>
        <v>lin. 1, lin.2, lin.8, lin. 11 - lin. 14, lin.16</v>
      </c>
      <c r="I139" s="577" t="str">
        <f t="shared" si="87"/>
        <v>lin. 1, lin.2, lin.8, lin. 11 - lin. 14, lin.16</v>
      </c>
      <c r="J139" s="577" t="str">
        <f t="shared" si="87"/>
        <v>lin. 1, lin.2, lin.8, lin. 11 - lin. 14, lin.16</v>
      </c>
      <c r="K139" s="577" t="str">
        <f t="shared" si="87"/>
        <v>lin. 1, lin.2, lin.8, lin. 11 - lin. 14, lin.16</v>
      </c>
      <c r="L139" s="577" t="str">
        <f t="shared" si="87"/>
        <v>lin. 1, lin.2, lin.8, lin. 11 - lin. 14, lin.16</v>
      </c>
      <c r="M139" s="577" t="str">
        <f t="shared" si="87"/>
        <v>lin. 1, lin.2, lin.8, lin. 11 - lin. 14, lin.16</v>
      </c>
      <c r="N139" s="577" t="str">
        <f t="shared" si="87"/>
        <v>lin. 1, lin.2, lin.8, lin. 11 - lin. 14, lin.16</v>
      </c>
      <c r="O139" s="577" t="str">
        <f t="shared" si="87"/>
        <v>lin. 1, lin.2, lin.8, lin. 11 - lin. 14, lin.16</v>
      </c>
      <c r="P139" s="577" t="str">
        <f t="shared" si="87"/>
        <v>lin. 1, lin.2, lin.8, lin. 11 - lin. 14, lin.16</v>
      </c>
      <c r="Q139" s="577" t="str">
        <f t="shared" si="87"/>
        <v>lin. 1, lin.2, lin.8, lin. 11 - lin. 14, lin.16</v>
      </c>
      <c r="R139" s="577" t="str">
        <f t="shared" si="87"/>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8">ROUND(G108/G$8/160.33,2)</f>
        <v>#DIV/0!</v>
      </c>
      <c r="H140" s="579" t="e">
        <f t="shared" si="88"/>
        <v>#DIV/0!</v>
      </c>
      <c r="I140" s="579" t="e">
        <f t="shared" si="88"/>
        <v>#DIV/0!</v>
      </c>
      <c r="J140" s="579" t="e">
        <f t="shared" si="88"/>
        <v>#DIV/0!</v>
      </c>
      <c r="K140" s="579" t="e">
        <f t="shared" si="88"/>
        <v>#DIV/0!</v>
      </c>
      <c r="L140" s="579" t="e">
        <f t="shared" si="88"/>
        <v>#DIV/0!</v>
      </c>
      <c r="M140" s="579" t="e">
        <f t="shared" si="88"/>
        <v>#DIV/0!</v>
      </c>
      <c r="N140" s="579" t="e">
        <f t="shared" si="88"/>
        <v>#DIV/0!</v>
      </c>
      <c r="O140" s="579" t="e">
        <f t="shared" si="88"/>
        <v>#DIV/0!</v>
      </c>
      <c r="P140" s="579" t="e">
        <f t="shared" si="88"/>
        <v>#DIV/0!</v>
      </c>
      <c r="Q140" s="579" t="e">
        <f t="shared" si="88"/>
        <v>#DIV/0!</v>
      </c>
      <c r="R140" s="579" t="e">
        <f t="shared" si="88"/>
        <v>#DIV/0!</v>
      </c>
      <c r="S140" s="578"/>
      <c r="T140" s="564"/>
      <c r="U140" s="127"/>
      <c r="V140" s="127"/>
      <c r="W140" s="127"/>
      <c r="X140" s="127"/>
      <c r="Y140" s="127"/>
    </row>
    <row r="141" spans="1:25" s="565" customFormat="1">
      <c r="A141" s="575" t="s">
        <v>459</v>
      </c>
      <c r="B141" s="576"/>
      <c r="C141" s="576"/>
      <c r="D141" s="576"/>
      <c r="E141" s="576"/>
      <c r="F141" s="575"/>
      <c r="G141" s="579" t="e">
        <f t="shared" ref="G141:R141" si="89">ROUND(G109/G$8/160.33,2)</f>
        <v>#DIV/0!</v>
      </c>
      <c r="H141" s="579" t="e">
        <f t="shared" si="89"/>
        <v>#DIV/0!</v>
      </c>
      <c r="I141" s="579" t="e">
        <f t="shared" si="89"/>
        <v>#DIV/0!</v>
      </c>
      <c r="J141" s="579" t="e">
        <f t="shared" si="89"/>
        <v>#DIV/0!</v>
      </c>
      <c r="K141" s="579" t="e">
        <f t="shared" si="89"/>
        <v>#DIV/0!</v>
      </c>
      <c r="L141" s="579" t="e">
        <f t="shared" si="89"/>
        <v>#DIV/0!</v>
      </c>
      <c r="M141" s="579" t="e">
        <f t="shared" si="89"/>
        <v>#DIV/0!</v>
      </c>
      <c r="N141" s="579" t="e">
        <f t="shared" si="89"/>
        <v>#DIV/0!</v>
      </c>
      <c r="O141" s="579" t="e">
        <f t="shared" si="89"/>
        <v>#DIV/0!</v>
      </c>
      <c r="P141" s="579" t="e">
        <f t="shared" si="89"/>
        <v>#DIV/0!</v>
      </c>
      <c r="Q141" s="579" t="e">
        <f t="shared" si="89"/>
        <v>#DIV/0!</v>
      </c>
      <c r="R141" s="579" t="e">
        <f t="shared" si="89"/>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90">"= ("&amp;TEXT(16.38*H$6,"#0,00")&amp;" * "&amp;MIN(650,H$9)&amp;" + "&amp;TEXT(98.3*H$6,"#0,00")&amp;" * "&amp;MAX(0,MIN(50,H$9-650))&amp;" + "&amp;TEXT(131.07*H$6,"#0,00")&amp;" * "&amp;MAX(0,MIN(50,H$9-700))&amp;" + "&amp;TEXT(163.83*H$6,"#0,00")&amp;" * "&amp;MAX(0,H$9-750)&amp;") / 12 * "&amp;TEXT(H$3,"#0/#0")&amp;" ="</f>
        <v>= (16,66 * 0 + 99,99 * 0 + 133,32 * 0 + 166,64 * 0) / 12 * 1/1 =</v>
      </c>
      <c r="I142" s="577" t="str">
        <f t="shared" si="90"/>
        <v>= (16,66 * 0 + 99,99 * 0 + 133,32 * 0 + 166,64 * 0) / 12 * 1/1 =</v>
      </c>
      <c r="J142" s="577" t="str">
        <f t="shared" si="90"/>
        <v>= (16,66 * 0 + 99,99 * 0 + 133,32 * 0 + 166,64 * 0) / 12 * 1/1 =</v>
      </c>
      <c r="K142" s="577" t="str">
        <f t="shared" si="90"/>
        <v>= (16,66 * 0 + 99,99 * 0 + 133,32 * 0 + 166,64 * 0) / 12 * 1/1 =</v>
      </c>
      <c r="L142" s="577" t="str">
        <f t="shared" si="90"/>
        <v>= (16,66 * 0 + 99,99 * 0 + 133,32 * 0 + 166,64 * 0) / 12 * 1/1 =</v>
      </c>
      <c r="M142" s="577" t="str">
        <f t="shared" si="90"/>
        <v>= (16,66 * 0 + 99,99 * 0 + 133,32 * 0 + 166,64 * 0) / 12 * 1/1 =</v>
      </c>
      <c r="N142" s="577" t="str">
        <f t="shared" si="90"/>
        <v>= (16,66 * 0 + 99,99 * 0 + 133,32 * 0 + 166,64 * 0) / 12 * 1/1 =</v>
      </c>
      <c r="O142" s="577" t="str">
        <f t="shared" si="90"/>
        <v>= (17,00 * 0 + 102,04 * 0 + 136,05 * 0 + 170,06 * 0) / 12 * 1/1 =</v>
      </c>
      <c r="P142" s="577" t="str">
        <f t="shared" si="90"/>
        <v>= (17,00 * 0 + 102,04 * 0 + 136,05 * 0 + 170,06 * 0) / 12 * 1/1 =</v>
      </c>
      <c r="Q142" s="577" t="str">
        <f t="shared" si="90"/>
        <v>= (17,00 * 0 + 102,04 * 0 + 136,05 * 0 + 170,06 * 0) / 12 * 1/1 =</v>
      </c>
      <c r="R142" s="577" t="str">
        <f t="shared" si="90"/>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91">"= ("&amp;TEXT(22.41*H$6,"#0,00")&amp;" * "&amp;MIN(750,H$9)&amp;" + "&amp;TEXT(55.63*H$6,"#0,00")&amp;" * "&amp;MAX(0,MIN(50,H$9-750))&amp;" + "&amp;TEXT(131.07*H$6,"#0,00")&amp;" * "&amp;MAX(0,MIN(50,H$9-800))&amp;" + "&amp;TEXT(163.83*H$6,"#0,00")&amp;" * "&amp;MAX(0,H$9-835)&amp;") / 12 * "&amp;TEXT(H$3,"#0/#0")&amp;" ="</f>
        <v>= (22,79 * 0 + 56,58 * 0 + 133,32 * 0 + 166,64 * 0) / 12 * 1/1 =</v>
      </c>
      <c r="I143" s="577" t="str">
        <f t="shared" si="91"/>
        <v>= (22,79 * 0 + 56,58 * 0 + 133,32 * 0 + 166,64 * 0) / 12 * 1/1 =</v>
      </c>
      <c r="J143" s="577" t="str">
        <f t="shared" si="91"/>
        <v>= (22,79 * 0 + 56,58 * 0 + 133,32 * 0 + 166,64 * 0) / 12 * 1/1 =</v>
      </c>
      <c r="K143" s="577" t="str">
        <f t="shared" si="91"/>
        <v>= (22,79 * 0 + 56,58 * 0 + 133,32 * 0 + 166,64 * 0) / 12 * 1/1 =</v>
      </c>
      <c r="L143" s="577" t="str">
        <f t="shared" si="91"/>
        <v>= (22,79 * 0 + 56,58 * 0 + 133,32 * 0 + 166,64 * 0) / 12 * 1/1 =</v>
      </c>
      <c r="M143" s="577" t="str">
        <f t="shared" si="91"/>
        <v>= (22,79 * 0 + 56,58 * 0 + 133,32 * 0 + 166,64 * 0) / 12 * 1/1 =</v>
      </c>
      <c r="N143" s="577" t="str">
        <f t="shared" si="91"/>
        <v>= (22,79 * 0 + 56,58 * 0 + 133,32 * 0 + 166,64 * 0) / 12 * 1/1 =</v>
      </c>
      <c r="O143" s="577" t="str">
        <f t="shared" si="91"/>
        <v>= (23,26 * 0 + 57,74 * 0 + 136,05 * 0 + 170,06 * 0) / 12 * 1/1 =</v>
      </c>
      <c r="P143" s="577" t="str">
        <f t="shared" si="91"/>
        <v>= (23,26 * 0 + 57,74 * 0 + 136,05 * 0 + 170,06 * 0) / 12 * 1/1 =</v>
      </c>
      <c r="Q143" s="577" t="str">
        <f t="shared" si="91"/>
        <v>= (23,26 * 0 + 57,74 * 0 + 136,05 * 0 + 170,06 * 0) / 12 * 1/1 =</v>
      </c>
      <c r="R143" s="577" t="str">
        <f t="shared" si="91"/>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2">B45</f>
        <v>45</v>
      </c>
      <c r="E145" s="576"/>
      <c r="F145" s="580" t="s">
        <v>94</v>
      </c>
      <c r="G145" s="577" t="e">
        <f>"= "&amp;TEXT(VLOOKUP(G$4,basistabel12,2,0)*G$6/12,"#.000,00")&amp;" * "&amp;TEXT(G$8,"0,0000")&amp;" * "&amp;TEXT(G$3,"#0/#0")&amp;" ="</f>
        <v>#N/A</v>
      </c>
      <c r="H145" s="577" t="e">
        <f t="shared" ref="H145:R145" si="93">"= "&amp;TEXT(VLOOKUP(H4,basistabel12,2,0)*H6/12,"#.000,00")&amp;" * "&amp;TEXT(H8,"0,0000")&amp;" * "&amp;TEXT(H3,"#0/#0")&amp;" ="</f>
        <v>#N/A</v>
      </c>
      <c r="I145" s="577" t="e">
        <f t="shared" si="93"/>
        <v>#N/A</v>
      </c>
      <c r="J145" s="577" t="e">
        <f t="shared" si="93"/>
        <v>#N/A</v>
      </c>
      <c r="K145" s="577" t="e">
        <f t="shared" si="93"/>
        <v>#N/A</v>
      </c>
      <c r="L145" s="577" t="e">
        <f t="shared" si="93"/>
        <v>#N/A</v>
      </c>
      <c r="M145" s="577" t="e">
        <f t="shared" si="93"/>
        <v>#N/A</v>
      </c>
      <c r="N145" s="577" t="e">
        <f t="shared" si="93"/>
        <v>#N/A</v>
      </c>
      <c r="O145" s="577" t="e">
        <f t="shared" si="93"/>
        <v>#N/A</v>
      </c>
      <c r="P145" s="577" t="e">
        <f t="shared" si="93"/>
        <v>#N/A</v>
      </c>
      <c r="Q145" s="577" t="e">
        <f t="shared" si="93"/>
        <v>#N/A</v>
      </c>
      <c r="R145" s="577" t="e">
        <f t="shared" si="93"/>
        <v>#N/A</v>
      </c>
      <c r="S145" s="578"/>
      <c r="T145" s="564"/>
      <c r="U145" s="127"/>
      <c r="V145" s="127"/>
      <c r="W145" s="127"/>
      <c r="X145" s="127"/>
      <c r="Y145" s="127"/>
    </row>
    <row r="146" spans="1:25" s="565" customFormat="1">
      <c r="A146" s="575"/>
      <c r="B146" s="576">
        <f t="shared" ref="B146:B205" si="94">B145+1</f>
        <v>2</v>
      </c>
      <c r="C146" s="576"/>
      <c r="D146" s="576">
        <f t="shared" si="92"/>
        <v>46</v>
      </c>
      <c r="E146" s="576"/>
      <c r="F146" s="581" t="s">
        <v>95</v>
      </c>
      <c r="G146" s="577" t="e">
        <f t="shared" ref="G146:R146" si="95">"= "&amp;TEXT(VLOOKUP(G$4,omraadetabel12,G$7,0)/12,"#.000,00")&amp;" * "&amp;TEXT(G$8,"0,0000")&amp;" * "&amp;TEXT(G$3,"#0/#0")&amp;" ="</f>
        <v>#N/A</v>
      </c>
      <c r="H146" s="577" t="e">
        <f t="shared" si="95"/>
        <v>#N/A</v>
      </c>
      <c r="I146" s="577" t="e">
        <f t="shared" si="95"/>
        <v>#N/A</v>
      </c>
      <c r="J146" s="577" t="e">
        <f t="shared" si="95"/>
        <v>#N/A</v>
      </c>
      <c r="K146" s="577" t="e">
        <f t="shared" si="95"/>
        <v>#N/A</v>
      </c>
      <c r="L146" s="577" t="e">
        <f t="shared" si="95"/>
        <v>#N/A</v>
      </c>
      <c r="M146" s="577" t="e">
        <f t="shared" si="95"/>
        <v>#N/A</v>
      </c>
      <c r="N146" s="577" t="e">
        <f t="shared" si="95"/>
        <v>#N/A</v>
      </c>
      <c r="O146" s="577" t="e">
        <f t="shared" si="95"/>
        <v>#N/A</v>
      </c>
      <c r="P146" s="577" t="e">
        <f t="shared" si="95"/>
        <v>#N/A</v>
      </c>
      <c r="Q146" s="577" t="e">
        <f t="shared" si="95"/>
        <v>#N/A</v>
      </c>
      <c r="R146" s="577" t="e">
        <f t="shared" si="95"/>
        <v>#N/A</v>
      </c>
      <c r="S146" s="578"/>
      <c r="T146" s="564"/>
      <c r="U146" s="127"/>
      <c r="V146" s="127"/>
      <c r="W146" s="127"/>
      <c r="X146" s="127"/>
      <c r="Y146" s="127"/>
    </row>
    <row r="147" spans="1:25" s="565" customFormat="1">
      <c r="A147" s="575"/>
      <c r="B147" s="576">
        <f t="shared" si="94"/>
        <v>3</v>
      </c>
      <c r="C147" s="576"/>
      <c r="D147" s="576">
        <f t="shared" si="92"/>
        <v>47</v>
      </c>
      <c r="E147" s="576"/>
      <c r="F147" s="581" t="s">
        <v>183</v>
      </c>
      <c r="G147" s="577" t="str">
        <f t="shared" ref="G147:R147" si="96">IF(LEFT(G4)="L",G142,G143)</f>
        <v>= (22,79 * 750 + 56,58 * 0 + 133,32 * 0 + 166,64 * 0) / 12 * 1/1 =</v>
      </c>
      <c r="H147" s="577" t="str">
        <f t="shared" si="96"/>
        <v>= (22,79 * 0 + 56,58 * 0 + 133,32 * 0 + 166,64 * 0) / 12 * 1/1 =</v>
      </c>
      <c r="I147" s="577" t="str">
        <f t="shared" si="96"/>
        <v>= (22,79 * 0 + 56,58 * 0 + 133,32 * 0 + 166,64 * 0) / 12 * 1/1 =</v>
      </c>
      <c r="J147" s="577" t="str">
        <f t="shared" si="96"/>
        <v>= (22,79 * 0 + 56,58 * 0 + 133,32 * 0 + 166,64 * 0) / 12 * 1/1 =</v>
      </c>
      <c r="K147" s="577" t="str">
        <f t="shared" si="96"/>
        <v>= (22,79 * 0 + 56,58 * 0 + 133,32 * 0 + 166,64 * 0) / 12 * 1/1 =</v>
      </c>
      <c r="L147" s="577" t="str">
        <f t="shared" si="96"/>
        <v>= (22,79 * 0 + 56,58 * 0 + 133,32 * 0 + 166,64 * 0) / 12 * 1/1 =</v>
      </c>
      <c r="M147" s="577" t="str">
        <f t="shared" si="96"/>
        <v>= (22,79 * 0 + 56,58 * 0 + 133,32 * 0 + 166,64 * 0) / 12 * 1/1 =</v>
      </c>
      <c r="N147" s="577" t="str">
        <f t="shared" si="96"/>
        <v>= (22,79 * 0 + 56,58 * 0 + 133,32 * 0 + 166,64 * 0) / 12 * 1/1 =</v>
      </c>
      <c r="O147" s="577" t="str">
        <f t="shared" si="96"/>
        <v>= (23,26 * 0 + 57,74 * 0 + 136,05 * 0 + 170,06 * 0) / 12 * 1/1 =</v>
      </c>
      <c r="P147" s="577" t="str">
        <f t="shared" si="96"/>
        <v>= (23,26 * 0 + 57,74 * 0 + 136,05 * 0 + 170,06 * 0) / 12 * 1/1 =</v>
      </c>
      <c r="Q147" s="577" t="str">
        <f t="shared" si="96"/>
        <v>= (23,26 * 0 + 57,74 * 0 + 136,05 * 0 + 170,06 * 0) / 12 * 1/1 =</v>
      </c>
      <c r="R147" s="577" t="str">
        <f t="shared" si="96"/>
        <v>= (23,26 * 0 + 57,74 * 0 + 136,05 * 0 + 170,06 * 0) / 12 * 1/1 =</v>
      </c>
      <c r="S147" s="578"/>
      <c r="T147" s="564"/>
      <c r="U147" s="127"/>
      <c r="V147" s="127"/>
      <c r="W147" s="127"/>
      <c r="X147" s="127"/>
      <c r="Y147" s="127"/>
    </row>
    <row r="148" spans="1:25" s="565" customFormat="1">
      <c r="A148" s="575"/>
      <c r="B148" s="576">
        <f t="shared" si="94"/>
        <v>4</v>
      </c>
      <c r="C148" s="576"/>
      <c r="D148" s="576">
        <f t="shared" si="92"/>
        <v>48</v>
      </c>
      <c r="E148" s="576"/>
      <c r="F148" s="581" t="s">
        <v>184</v>
      </c>
      <c r="G148" s="577" t="str">
        <f t="shared" ref="G148" si="97">"= "&amp;TEXT(ROUND(G10*G$6/12,2),"#.000,00")&amp;" * "&amp;TEXT(G$3,"#0/#0")&amp;" ="</f>
        <v>= 000,00 * 1/1 =</v>
      </c>
      <c r="H148" s="577" t="str">
        <f t="shared" ref="H148:R148" si="98">"= "&amp;TEXT(ROUND(H10*H$6/12,2),"#.000,00")&amp;" * "&amp;TEXT(H$3,"#0/#0")&amp;" ="</f>
        <v>= 000,00 * 1/1 =</v>
      </c>
      <c r="I148" s="577" t="str">
        <f t="shared" si="98"/>
        <v>= 000,00 * 1/1 =</v>
      </c>
      <c r="J148" s="577" t="str">
        <f t="shared" si="98"/>
        <v>= 000,00 * 1/1 =</v>
      </c>
      <c r="K148" s="577" t="str">
        <f t="shared" si="98"/>
        <v>= 000,00 * 1/1 =</v>
      </c>
      <c r="L148" s="577" t="str">
        <f t="shared" si="98"/>
        <v>= 000,00 * 1/1 =</v>
      </c>
      <c r="M148" s="577" t="str">
        <f t="shared" si="98"/>
        <v>= 000,00 * 1/1 =</v>
      </c>
      <c r="N148" s="577" t="str">
        <f t="shared" si="98"/>
        <v>= 000,00 * 1/1 =</v>
      </c>
      <c r="O148" s="577" t="str">
        <f t="shared" si="98"/>
        <v>= 000,00 * 1/1 =</v>
      </c>
      <c r="P148" s="577" t="str">
        <f t="shared" si="98"/>
        <v>= 000,00 * 1/1 =</v>
      </c>
      <c r="Q148" s="577" t="str">
        <f t="shared" si="98"/>
        <v>= 000,00 * 1/1 =</v>
      </c>
      <c r="R148" s="577" t="str">
        <f t="shared" si="98"/>
        <v>= 000,00 * 1/1 =</v>
      </c>
      <c r="S148" s="578"/>
      <c r="T148" s="564"/>
      <c r="U148" s="127"/>
      <c r="V148" s="127"/>
      <c r="W148" s="127"/>
      <c r="X148" s="127"/>
      <c r="Y148" s="127"/>
    </row>
    <row r="149" spans="1:25" s="565" customFormat="1">
      <c r="A149" s="575"/>
      <c r="B149" s="576">
        <f t="shared" si="94"/>
        <v>5</v>
      </c>
      <c r="C149" s="576"/>
      <c r="D149" s="576">
        <f t="shared" si="92"/>
        <v>49</v>
      </c>
      <c r="E149" s="576"/>
      <c r="F149" s="581" t="s">
        <v>185</v>
      </c>
      <c r="G149" s="577" t="str">
        <f t="shared" ref="G149:N154" si="99">"= "&amp;TEXT(G11,"#.###,00")&amp;" * "&amp;G$6&amp;IF($D49&gt;0," * "&amp;TEXT(G$8,"0,0000"),"")&amp;" * "&amp;TEXT(G$3,"#0/#0")&amp;" / 12 ="</f>
        <v>= ,00 * 1,017162 * 1/1 / 12 =</v>
      </c>
      <c r="H149" s="577" t="str">
        <f t="shared" ref="H149:R149" si="100">"= "&amp;TEXT(H11,"#.###,00")&amp;" * "&amp;H$6&amp;IF($D49&gt;0," * "&amp;TEXT(H$8,"0,0000"),"")&amp;" * "&amp;TEXT(H$3,"#0/#0")&amp;" / 12 ="</f>
        <v>= ,00 * 1,017162 * 1/1 / 12 =</v>
      </c>
      <c r="I149" s="577" t="str">
        <f t="shared" si="100"/>
        <v>= ,00 * 1,017162 * 1/1 / 12 =</v>
      </c>
      <c r="J149" s="577" t="str">
        <f t="shared" si="100"/>
        <v>= ,00 * 1,017162 * 1/1 / 12 =</v>
      </c>
      <c r="K149" s="577" t="str">
        <f t="shared" si="100"/>
        <v>= ,00 * 1,017162 * 1/1 / 12 =</v>
      </c>
      <c r="L149" s="577" t="str">
        <f t="shared" si="100"/>
        <v>= ,00 * 1,017162 * 1/1 / 12 =</v>
      </c>
      <c r="M149" s="577" t="str">
        <f t="shared" si="100"/>
        <v>= ,00 * 1,017162 * 1/1 / 12 =</v>
      </c>
      <c r="N149" s="577" t="str">
        <f t="shared" si="100"/>
        <v>= ,00 * 1,017162 * 1/1 / 12 =</v>
      </c>
      <c r="O149" s="577" t="str">
        <f t="shared" si="100"/>
        <v>= ,00 * 1,038 * 1/1 / 12 =</v>
      </c>
      <c r="P149" s="577" t="str">
        <f t="shared" si="100"/>
        <v>= ,00 * 1,038 * 1/1 / 12 =</v>
      </c>
      <c r="Q149" s="577" t="str">
        <f t="shared" si="100"/>
        <v>= ,00 * 1,038 * 1/1 / 12 =</v>
      </c>
      <c r="R149" s="577" t="str">
        <f t="shared" si="100"/>
        <v>= ,00 * 1,038 * 1/1 / 12 =</v>
      </c>
      <c r="S149" s="578"/>
      <c r="T149" s="564"/>
      <c r="U149" s="127"/>
      <c r="V149" s="127"/>
      <c r="W149" s="127"/>
      <c r="X149" s="127"/>
      <c r="Y149" s="127"/>
    </row>
    <row r="150" spans="1:25" s="565" customFormat="1">
      <c r="A150" s="575"/>
      <c r="B150" s="576">
        <f t="shared" si="94"/>
        <v>6</v>
      </c>
      <c r="C150" s="576"/>
      <c r="D150" s="576">
        <f t="shared" si="92"/>
        <v>50</v>
      </c>
      <c r="E150" s="576"/>
      <c r="F150" s="581" t="s">
        <v>186</v>
      </c>
      <c r="G150" s="577" t="str">
        <f t="shared" si="99"/>
        <v>= ,00 * 1,017162 * 1/1 / 12 =</v>
      </c>
      <c r="H150" s="577" t="str">
        <f t="shared" ref="H150:R150" si="101">"= "&amp;TEXT(H12,"#.###,00")&amp;" * "&amp;H$6&amp;IF($D50&gt;0," * "&amp;TEXT(H$8,"0,0000"),"")&amp;" * "&amp;TEXT(H$3,"#0/#0")&amp;" / 12 ="</f>
        <v>= ,00 * 1,017162 * 1/1 / 12 =</v>
      </c>
      <c r="I150" s="577" t="str">
        <f t="shared" si="101"/>
        <v>= ,00 * 1,017162 * 1/1 / 12 =</v>
      </c>
      <c r="J150" s="577" t="str">
        <f t="shared" si="101"/>
        <v>= ,00 * 1,017162 * 1/1 / 12 =</v>
      </c>
      <c r="K150" s="577" t="str">
        <f t="shared" si="101"/>
        <v>= ,00 * 1,017162 * 1/1 / 12 =</v>
      </c>
      <c r="L150" s="577" t="str">
        <f t="shared" si="101"/>
        <v>= ,00 * 1,017162 * 1/1 / 12 =</v>
      </c>
      <c r="M150" s="577" t="str">
        <f t="shared" si="101"/>
        <v>= ,00 * 1,017162 * 1/1 / 12 =</v>
      </c>
      <c r="N150" s="577" t="str">
        <f t="shared" si="101"/>
        <v>= ,00 * 1,017162 * 1/1 / 12 =</v>
      </c>
      <c r="O150" s="577" t="str">
        <f t="shared" si="101"/>
        <v>= ,00 * 1,038 * 1/1 / 12 =</v>
      </c>
      <c r="P150" s="577" t="str">
        <f t="shared" si="101"/>
        <v>= ,00 * 1,038 * 1/1 / 12 =</v>
      </c>
      <c r="Q150" s="577" t="str">
        <f t="shared" si="101"/>
        <v>= ,00 * 1,038 * 1/1 / 12 =</v>
      </c>
      <c r="R150" s="577" t="str">
        <f t="shared" si="101"/>
        <v>= ,00 * 1,038 * 1/1 / 12 =</v>
      </c>
      <c r="S150" s="578"/>
      <c r="T150" s="564"/>
      <c r="U150" s="127"/>
      <c r="V150" s="127"/>
      <c r="W150" s="127"/>
      <c r="X150" s="127"/>
      <c r="Y150" s="127"/>
    </row>
    <row r="151" spans="1:25" s="565" customFormat="1">
      <c r="A151" s="575"/>
      <c r="B151" s="576">
        <f t="shared" si="94"/>
        <v>7</v>
      </c>
      <c r="C151" s="576"/>
      <c r="D151" s="576">
        <f t="shared" si="92"/>
        <v>51</v>
      </c>
      <c r="E151" s="576"/>
      <c r="F151" s="581" t="s">
        <v>187</v>
      </c>
      <c r="G151" s="577" t="str">
        <f t="shared" si="99"/>
        <v>= ,00 * 1,017162 * 1/1 / 12 =</v>
      </c>
      <c r="H151" s="577" t="str">
        <f t="shared" si="99"/>
        <v>= ,00 * 1,017162 * 1/1 / 12 =</v>
      </c>
      <c r="I151" s="577" t="str">
        <f t="shared" si="99"/>
        <v>= ,00 * 1,017162 * 1/1 / 12 =</v>
      </c>
      <c r="J151" s="577" t="str">
        <f t="shared" si="99"/>
        <v>= ,00 * 1,017162 * 1/1 / 12 =</v>
      </c>
      <c r="K151" s="577" t="str">
        <f t="shared" si="99"/>
        <v>= ,00 * 1,017162 * 1/1 / 12 =</v>
      </c>
      <c r="L151" s="577" t="str">
        <f t="shared" si="99"/>
        <v>= ,00 * 1,017162 * 1/1 / 12 =</v>
      </c>
      <c r="M151" s="577" t="str">
        <f t="shared" si="99"/>
        <v>= ,00 * 1,017162 * 1/1 / 12 =</v>
      </c>
      <c r="N151" s="577" t="str">
        <f t="shared" si="99"/>
        <v>= ,00 * 1,017162 * 1/1 / 12 =</v>
      </c>
      <c r="O151" s="577" t="str">
        <f t="shared" ref="O151:R154" si="102">"= "&amp;TEXT(O13,"#.###,00")&amp;" * "&amp;O$6&amp;IF($D51&gt;0," * "&amp;TEXT(O$8,"0,0000"),"")&amp;" * "&amp;TEXT(O$3,"#0/#0")&amp;" / 12 ="</f>
        <v>= ,00 * 1,038 * 1/1 / 12 =</v>
      </c>
      <c r="P151" s="577" t="str">
        <f t="shared" si="102"/>
        <v>= ,00 * 1,038 * 1/1 / 12 =</v>
      </c>
      <c r="Q151" s="577" t="str">
        <f t="shared" si="102"/>
        <v>= ,00 * 1,038 * 1/1 / 12 =</v>
      </c>
      <c r="R151" s="577" t="str">
        <f t="shared" si="102"/>
        <v>= ,00 * 1,038 * 1/1 / 12 =</v>
      </c>
      <c r="S151" s="578"/>
      <c r="T151" s="564"/>
      <c r="U151" s="127"/>
      <c r="V151" s="127"/>
      <c r="W151" s="127"/>
      <c r="X151" s="127"/>
      <c r="Y151" s="127"/>
    </row>
    <row r="152" spans="1:25" s="565" customFormat="1">
      <c r="A152" s="575"/>
      <c r="B152" s="576">
        <f t="shared" si="94"/>
        <v>8</v>
      </c>
      <c r="C152" s="576"/>
      <c r="D152" s="576">
        <f t="shared" si="92"/>
        <v>52</v>
      </c>
      <c r="E152" s="576"/>
      <c r="F152" s="581" t="s">
        <v>188</v>
      </c>
      <c r="G152" s="577" t="str">
        <f t="shared" si="99"/>
        <v>= ,00 * 1,017162 * 0,0000 * 1/1 / 12 =</v>
      </c>
      <c r="H152" s="577" t="str">
        <f t="shared" si="99"/>
        <v>= ,00 * 1,017162 * 0,0000 * 1/1 / 12 =</v>
      </c>
      <c r="I152" s="577" t="str">
        <f t="shared" si="99"/>
        <v>= ,00 * 1,017162 * 0,0000 * 1/1 / 12 =</v>
      </c>
      <c r="J152" s="577" t="str">
        <f t="shared" si="99"/>
        <v>= ,00 * 1,017162 * 0,0000 * 1/1 / 12 =</v>
      </c>
      <c r="K152" s="577" t="str">
        <f t="shared" si="99"/>
        <v>= ,00 * 1,017162 * 0,0000 * 1/1 / 12 =</v>
      </c>
      <c r="L152" s="577" t="str">
        <f t="shared" si="99"/>
        <v>= ,00 * 1,017162 * 0,0000 * 1/1 / 12 =</v>
      </c>
      <c r="M152" s="577" t="str">
        <f t="shared" si="99"/>
        <v>= ,00 * 1,017162 * 0,0000 * 1/1 / 12 =</v>
      </c>
      <c r="N152" s="577" t="str">
        <f t="shared" si="99"/>
        <v>= ,00 * 1,017162 * 0,0000 * 1/1 / 12 =</v>
      </c>
      <c r="O152" s="577" t="str">
        <f t="shared" si="102"/>
        <v>= ,00 * 1,038 * 0,0000 * 1/1 / 12 =</v>
      </c>
      <c r="P152" s="577" t="str">
        <f t="shared" si="102"/>
        <v>= ,00 * 1,038 * 0,0000 * 1/1 / 12 =</v>
      </c>
      <c r="Q152" s="577" t="str">
        <f t="shared" si="102"/>
        <v>= ,00 * 1,038 * 0,0000 * 1/1 / 12 =</v>
      </c>
      <c r="R152" s="577" t="str">
        <f t="shared" si="102"/>
        <v>= ,00 * 1,038 * 0,0000 * 1/1 / 12 =</v>
      </c>
      <c r="S152" s="578"/>
      <c r="T152" s="564"/>
      <c r="U152" s="127"/>
      <c r="V152" s="127"/>
      <c r="W152" s="127"/>
      <c r="X152" s="127"/>
      <c r="Y152" s="127"/>
    </row>
    <row r="153" spans="1:25" s="565" customFormat="1">
      <c r="A153" s="575"/>
      <c r="B153" s="576">
        <f t="shared" si="94"/>
        <v>9</v>
      </c>
      <c r="C153" s="576"/>
      <c r="D153" s="576">
        <f t="shared" si="92"/>
        <v>53</v>
      </c>
      <c r="E153" s="576"/>
      <c r="F153" s="581" t="s">
        <v>189</v>
      </c>
      <c r="G153" s="577" t="str">
        <f t="shared" si="99"/>
        <v>= ,00 * 1,017162 * 1/1 / 12 =</v>
      </c>
      <c r="H153" s="577" t="str">
        <f t="shared" si="99"/>
        <v>= ,00 * 1,017162 * 1/1 / 12 =</v>
      </c>
      <c r="I153" s="577" t="str">
        <f t="shared" si="99"/>
        <v>= ,00 * 1,017162 * 1/1 / 12 =</v>
      </c>
      <c r="J153" s="577" t="str">
        <f t="shared" si="99"/>
        <v>= ,00 * 1,017162 * 1/1 / 12 =</v>
      </c>
      <c r="K153" s="577" t="str">
        <f t="shared" si="99"/>
        <v>= ,00 * 1,017162 * 1/1 / 12 =</v>
      </c>
      <c r="L153" s="577" t="str">
        <f t="shared" si="99"/>
        <v>= ,00 * 1,017162 * 1/1 / 12 =</v>
      </c>
      <c r="M153" s="577" t="str">
        <f t="shared" si="99"/>
        <v>= ,00 * 1,017162 * 1/1 / 12 =</v>
      </c>
      <c r="N153" s="577" t="str">
        <f t="shared" si="99"/>
        <v>= ,00 * 1,017162 * 1/1 / 12 =</v>
      </c>
      <c r="O153" s="577" t="str">
        <f t="shared" si="102"/>
        <v>= ,00 * 1,038 * 1/1 / 12 =</v>
      </c>
      <c r="P153" s="577" t="str">
        <f t="shared" si="102"/>
        <v>= ,00 * 1,038 * 1/1 / 12 =</v>
      </c>
      <c r="Q153" s="577" t="str">
        <f t="shared" si="102"/>
        <v>= ,00 * 1,038 * 1/1 / 12 =</v>
      </c>
      <c r="R153" s="577" t="str">
        <f t="shared" si="102"/>
        <v>= ,00 * 1,038 * 1/1 / 12 =</v>
      </c>
      <c r="S153" s="578"/>
      <c r="T153" s="564"/>
      <c r="U153" s="127"/>
      <c r="V153" s="127"/>
      <c r="W153" s="127"/>
      <c r="X153" s="127"/>
      <c r="Y153" s="127"/>
    </row>
    <row r="154" spans="1:25" s="565" customFormat="1">
      <c r="A154" s="575"/>
      <c r="B154" s="576">
        <f t="shared" si="94"/>
        <v>10</v>
      </c>
      <c r="C154" s="576"/>
      <c r="D154" s="576">
        <f t="shared" si="92"/>
        <v>54</v>
      </c>
      <c r="E154" s="576"/>
      <c r="F154" s="581" t="s">
        <v>190</v>
      </c>
      <c r="G154" s="577" t="str">
        <f t="shared" si="99"/>
        <v>= ,00 * 1,017162 * 1/1 / 12 =</v>
      </c>
      <c r="H154" s="577" t="str">
        <f t="shared" si="99"/>
        <v>= ,00 * 1,017162 * 1/1 / 12 =</v>
      </c>
      <c r="I154" s="577" t="str">
        <f t="shared" si="99"/>
        <v>= ,00 * 1,017162 * 1/1 / 12 =</v>
      </c>
      <c r="J154" s="577" t="str">
        <f t="shared" si="99"/>
        <v>= ,00 * 1,017162 * 1/1 / 12 =</v>
      </c>
      <c r="K154" s="577" t="str">
        <f t="shared" si="99"/>
        <v>= ,00 * 1,017162 * 1/1 / 12 =</v>
      </c>
      <c r="L154" s="577" t="str">
        <f t="shared" si="99"/>
        <v>= ,00 * 1,017162 * 1/1 / 12 =</v>
      </c>
      <c r="M154" s="577" t="str">
        <f t="shared" si="99"/>
        <v>= ,00 * 1,017162 * 1/1 / 12 =</v>
      </c>
      <c r="N154" s="577" t="str">
        <f t="shared" si="99"/>
        <v>= ,00 * 1,017162 * 1/1 / 12 =</v>
      </c>
      <c r="O154" s="577" t="str">
        <f t="shared" si="102"/>
        <v>= ,00 * 1,038 * 1/1 / 12 =</v>
      </c>
      <c r="P154" s="577" t="str">
        <f t="shared" si="102"/>
        <v>= ,00 * 1,038 * 1/1 / 12 =</v>
      </c>
      <c r="Q154" s="577" t="str">
        <f t="shared" si="102"/>
        <v>= ,00 * 1,038 * 1/1 / 12 =</v>
      </c>
      <c r="R154" s="577" t="str">
        <f t="shared" si="102"/>
        <v>= ,00 * 1,038 * 1/1 / 12 =</v>
      </c>
      <c r="S154" s="578"/>
      <c r="T154" s="564"/>
      <c r="U154" s="127"/>
      <c r="V154" s="127"/>
      <c r="W154" s="127"/>
      <c r="X154" s="127"/>
      <c r="Y154" s="127"/>
    </row>
    <row r="155" spans="1:25" s="565" customFormat="1">
      <c r="A155" s="575"/>
      <c r="B155" s="576">
        <f t="shared" si="94"/>
        <v>11</v>
      </c>
      <c r="C155" s="576"/>
      <c r="D155" s="576">
        <f t="shared" si="92"/>
        <v>55</v>
      </c>
      <c r="E155" s="576"/>
      <c r="F155" s="581" t="s">
        <v>367</v>
      </c>
      <c r="G155" s="577" t="str">
        <f t="shared" ref="G155:R155" si="103">"= "&amp;TEXT(G17,"#.###,00")&amp;" * "&amp;G$6&amp;" * "&amp;TEXT(G$8,"0,0000")&amp;" * "&amp;TEXT(G$3,"#0/#0")&amp;" / 12 ="</f>
        <v>= ,00 * 1,017162 * 0,0000 * 1/1 / 12 =</v>
      </c>
      <c r="H155" s="577" t="str">
        <f t="shared" si="103"/>
        <v>= ,00 * 1,017162 * 0,0000 * 1/1 / 12 =</v>
      </c>
      <c r="I155" s="577" t="str">
        <f t="shared" si="103"/>
        <v>= ,00 * 1,017162 * 0,0000 * 1/1 / 12 =</v>
      </c>
      <c r="J155" s="577" t="str">
        <f t="shared" si="103"/>
        <v>= ,00 * 1,017162 * 0,0000 * 1/1 / 12 =</v>
      </c>
      <c r="K155" s="577" t="str">
        <f t="shared" si="103"/>
        <v>= ,00 * 1,017162 * 0,0000 * 1/1 / 12 =</v>
      </c>
      <c r="L155" s="577" t="str">
        <f t="shared" si="103"/>
        <v>= ,00 * 1,017162 * 0,0000 * 1/1 / 12 =</v>
      </c>
      <c r="M155" s="577" t="str">
        <f t="shared" si="103"/>
        <v>= ,00 * 1,017162 * 0,0000 * 1/1 / 12 =</v>
      </c>
      <c r="N155" s="577" t="str">
        <f t="shared" si="103"/>
        <v>= ,00 * 1,017162 * 0,0000 * 1/1 / 12 =</v>
      </c>
      <c r="O155" s="577" t="str">
        <f t="shared" si="103"/>
        <v>= ,00 * 1,038 * 0,0000 * 1/1 / 12 =</v>
      </c>
      <c r="P155" s="577" t="str">
        <f t="shared" si="103"/>
        <v>= ,00 * 1,038 * 0,0000 * 1/1 / 12 =</v>
      </c>
      <c r="Q155" s="577" t="str">
        <f t="shared" si="103"/>
        <v>= ,00 * 1,038 * 0,0000 * 1/1 / 12 =</v>
      </c>
      <c r="R155" s="577" t="str">
        <f t="shared" si="103"/>
        <v>= ,00 * 1,038 * 0,0000 * 1/1 / 12 =</v>
      </c>
      <c r="S155" s="578"/>
      <c r="T155" s="564"/>
      <c r="U155" s="127"/>
      <c r="V155" s="127"/>
      <c r="W155" s="127"/>
      <c r="X155" s="127"/>
      <c r="Y155" s="127"/>
    </row>
    <row r="156" spans="1:25" s="565" customFormat="1">
      <c r="A156" s="575"/>
      <c r="B156" s="576">
        <f t="shared" si="94"/>
        <v>12</v>
      </c>
      <c r="C156" s="576"/>
      <c r="D156" s="576">
        <f t="shared" si="92"/>
        <v>56</v>
      </c>
      <c r="E156" s="576"/>
      <c r="F156" s="581" t="s">
        <v>125</v>
      </c>
      <c r="G156" s="577" t="str">
        <f t="shared" ref="G156:R156" si="104">"= "&amp;TEXT(G18,"#.###,00")&amp;" * "&amp;G$6&amp;" * "&amp;TEXT(G$8,"0,0000")&amp;" * "&amp;TEXT(G$3,"#0/#0")&amp;" / 12 ="</f>
        <v>= ,00 * 1,017162 * 0,0000 * 1/1 / 12 =</v>
      </c>
      <c r="H156" s="577" t="str">
        <f t="shared" si="104"/>
        <v>= ,00 * 1,017162 * 0,0000 * 1/1 / 12 =</v>
      </c>
      <c r="I156" s="577" t="str">
        <f t="shared" si="104"/>
        <v>= ,00 * 1,017162 * 0,0000 * 1/1 / 12 =</v>
      </c>
      <c r="J156" s="577" t="str">
        <f t="shared" si="104"/>
        <v>= ,00 * 1,017162 * 0,0000 * 1/1 / 12 =</v>
      </c>
      <c r="K156" s="577" t="str">
        <f t="shared" si="104"/>
        <v>= ,00 * 1,017162 * 0,0000 * 1/1 / 12 =</v>
      </c>
      <c r="L156" s="577" t="str">
        <f t="shared" si="104"/>
        <v>= ,00 * 1,017162 * 0,0000 * 1/1 / 12 =</v>
      </c>
      <c r="M156" s="577" t="str">
        <f t="shared" si="104"/>
        <v>= ,00 * 1,017162 * 0,0000 * 1/1 / 12 =</v>
      </c>
      <c r="N156" s="577" t="str">
        <f t="shared" si="104"/>
        <v>= ,00 * 1,017162 * 0,0000 * 1/1 / 12 =</v>
      </c>
      <c r="O156" s="577" t="str">
        <f t="shared" si="104"/>
        <v>= ,00 * 1,038 * 0,0000 * 1/1 / 12 =</v>
      </c>
      <c r="P156" s="577" t="str">
        <f t="shared" si="104"/>
        <v>= ,00 * 1,038 * 0,0000 * 1/1 / 12 =</v>
      </c>
      <c r="Q156" s="577" t="str">
        <f t="shared" si="104"/>
        <v>= ,00 * 1,038 * 0,0000 * 1/1 / 12 =</v>
      </c>
      <c r="R156" s="577" t="str">
        <f t="shared" si="104"/>
        <v>= ,00 * 1,038 * 0,0000 * 1/1 / 12 =</v>
      </c>
      <c r="S156" s="578"/>
      <c r="T156" s="564"/>
      <c r="U156" s="127"/>
      <c r="V156" s="127"/>
      <c r="W156" s="127"/>
      <c r="X156" s="127"/>
      <c r="Y156" s="127"/>
    </row>
    <row r="157" spans="1:25" s="565" customFormat="1">
      <c r="A157" s="575"/>
      <c r="B157" s="576">
        <f t="shared" si="94"/>
        <v>13</v>
      </c>
      <c r="C157" s="576"/>
      <c r="D157" s="576">
        <f t="shared" si="92"/>
        <v>57</v>
      </c>
      <c r="E157" s="576"/>
      <c r="F157" s="581" t="s">
        <v>401</v>
      </c>
      <c r="G157" s="577" t="str">
        <f t="shared" ref="G157:R157" si="105">"= "&amp;TEXT(IF(RIGHT(G4)="1",5200)+IF(RIGHT(G4)="2",7900)+IF(RIGHT(G4)="3",7900),"#.###")&amp;" * "&amp;G$6&amp;" * "&amp;TEXT(G$8,"0,0000")&amp;" * "&amp;TEXT(G$3,"#0/#0")&amp;" / 12 ="</f>
        <v>=  * 1,017162 * 0,0000 * 1/1 / 12 =</v>
      </c>
      <c r="H157" s="577" t="str">
        <f t="shared" si="105"/>
        <v>=  * 1,017162 * 0,0000 * 1/1 / 12 =</v>
      </c>
      <c r="I157" s="577" t="str">
        <f t="shared" si="105"/>
        <v>=  * 1,017162 * 0,0000 * 1/1 / 12 =</v>
      </c>
      <c r="J157" s="577" t="str">
        <f t="shared" si="105"/>
        <v>=  * 1,017162 * 0,0000 * 1/1 / 12 =</v>
      </c>
      <c r="K157" s="577" t="str">
        <f t="shared" si="105"/>
        <v>=  * 1,017162 * 0,0000 * 1/1 / 12 =</v>
      </c>
      <c r="L157" s="577" t="str">
        <f t="shared" si="105"/>
        <v>=  * 1,017162 * 0,0000 * 1/1 / 12 =</v>
      </c>
      <c r="M157" s="577" t="str">
        <f t="shared" si="105"/>
        <v>=  * 1,017162 * 0,0000 * 1/1 / 12 =</v>
      </c>
      <c r="N157" s="577" t="str">
        <f t="shared" si="105"/>
        <v>=  * 1,017162 * 0,0000 * 1/1 / 12 =</v>
      </c>
      <c r="O157" s="577" t="str">
        <f t="shared" si="105"/>
        <v>=  * 1,038 * 0,0000 * 1/1 / 12 =</v>
      </c>
      <c r="P157" s="577" t="str">
        <f t="shared" si="105"/>
        <v>=  * 1,038 * 0,0000 * 1/1 / 12 =</v>
      </c>
      <c r="Q157" s="577" t="str">
        <f t="shared" si="105"/>
        <v>=  * 1,038 * 0,0000 * 1/1 / 12 =</v>
      </c>
      <c r="R157" s="577" t="str">
        <f t="shared" si="105"/>
        <v>=  * 1,038 * 0,0000 * 1/1 / 12 =</v>
      </c>
      <c r="S157" s="578"/>
      <c r="T157" s="564"/>
      <c r="U157" s="127"/>
      <c r="V157" s="127"/>
      <c r="W157" s="127"/>
      <c r="X157" s="127"/>
      <c r="Y157" s="127"/>
    </row>
    <row r="158" spans="1:25" s="565" customFormat="1">
      <c r="A158" s="575"/>
      <c r="B158" s="576">
        <f t="shared" si="94"/>
        <v>14</v>
      </c>
      <c r="C158" s="576"/>
      <c r="D158" s="576">
        <f t="shared" si="92"/>
        <v>58</v>
      </c>
      <c r="E158" s="576"/>
      <c r="F158" s="581" t="s">
        <v>376</v>
      </c>
      <c r="G158" s="577" t="str">
        <f t="shared" ref="G158:R158" si="106">"= 2.800 * "&amp;G6&amp;" * "&amp;TEXT(G$8,"0,0000")&amp;" * "&amp;TEXT(G$3,"#0/#0")&amp;" / 12 ="</f>
        <v>= 2.800 * 1,017162 * 0,0000 * 1/1 / 12 =</v>
      </c>
      <c r="H158" s="577" t="str">
        <f t="shared" si="106"/>
        <v>= 2.800 * 1,017162 * 0,0000 * 1/1 / 12 =</v>
      </c>
      <c r="I158" s="577" t="str">
        <f t="shared" si="106"/>
        <v>= 2.800 * 1,017162 * 0,0000 * 1/1 / 12 =</v>
      </c>
      <c r="J158" s="577" t="str">
        <f t="shared" si="106"/>
        <v>= 2.800 * 1,017162 * 0,0000 * 1/1 / 12 =</v>
      </c>
      <c r="K158" s="577" t="str">
        <f t="shared" si="106"/>
        <v>= 2.800 * 1,017162 * 0,0000 * 1/1 / 12 =</v>
      </c>
      <c r="L158" s="577" t="str">
        <f t="shared" si="106"/>
        <v>= 2.800 * 1,017162 * 0,0000 * 1/1 / 12 =</v>
      </c>
      <c r="M158" s="577" t="str">
        <f t="shared" si="106"/>
        <v>= 2.800 * 1,017162 * 0,0000 * 1/1 / 12 =</v>
      </c>
      <c r="N158" s="577" t="str">
        <f t="shared" si="106"/>
        <v>= 2.800 * 1,017162 * 0,0000 * 1/1 / 12 =</v>
      </c>
      <c r="O158" s="577" t="str">
        <f t="shared" si="106"/>
        <v>= 2.800 * 1,038 * 0,0000 * 1/1 / 12 =</v>
      </c>
      <c r="P158" s="577" t="str">
        <f t="shared" si="106"/>
        <v>= 2.800 * 1,038 * 0,0000 * 1/1 / 12 =</v>
      </c>
      <c r="Q158" s="577" t="str">
        <f t="shared" si="106"/>
        <v>= 2.800 * 1,038 * 0,0000 * 1/1 / 12 =</v>
      </c>
      <c r="R158" s="577" t="str">
        <f t="shared" si="106"/>
        <v>= 2.800 * 1,038 * 0,0000 * 1/1 / 12 =</v>
      </c>
      <c r="S158" s="578"/>
      <c r="T158" s="564"/>
      <c r="U158" s="127"/>
      <c r="V158" s="127"/>
      <c r="W158" s="127"/>
      <c r="X158" s="127"/>
      <c r="Y158" s="127"/>
    </row>
    <row r="159" spans="1:25" s="565" customFormat="1">
      <c r="A159" s="575"/>
      <c r="B159" s="576">
        <f t="shared" si="94"/>
        <v>15</v>
      </c>
      <c r="C159" s="576"/>
      <c r="D159" s="576">
        <f t="shared" si="92"/>
        <v>59</v>
      </c>
      <c r="E159" s="576"/>
      <c r="F159" s="581" t="s">
        <v>191</v>
      </c>
      <c r="G159" s="577" t="str">
        <f t="shared" ref="G159:R159" si="107">" = "&amp;IF(G$8&gt;=0.5,708,354)&amp;" * "&amp;G6&amp;" * "&amp;TEXT(G$3,"#0/#0")&amp;" / 12 ="</f>
        <v xml:space="preserve"> = 354 * 1,017162 * 1/1 / 12 =</v>
      </c>
      <c r="H159" s="577" t="str">
        <f t="shared" si="107"/>
        <v xml:space="preserve"> = 354 * 1,017162 * 1/1 / 12 =</v>
      </c>
      <c r="I159" s="577" t="str">
        <f t="shared" si="107"/>
        <v xml:space="preserve"> = 354 * 1,017162 * 1/1 / 12 =</v>
      </c>
      <c r="J159" s="577" t="str">
        <f t="shared" si="107"/>
        <v xml:space="preserve"> = 354 * 1,017162 * 1/1 / 12 =</v>
      </c>
      <c r="K159" s="577" t="str">
        <f t="shared" si="107"/>
        <v xml:space="preserve"> = 354 * 1,017162 * 1/1 / 12 =</v>
      </c>
      <c r="L159" s="577" t="str">
        <f t="shared" si="107"/>
        <v xml:space="preserve"> = 354 * 1,017162 * 1/1 / 12 =</v>
      </c>
      <c r="M159" s="577" t="str">
        <f t="shared" si="107"/>
        <v xml:space="preserve"> = 354 * 1,017162 * 1/1 / 12 =</v>
      </c>
      <c r="N159" s="577" t="str">
        <f t="shared" si="107"/>
        <v xml:space="preserve"> = 354 * 1,017162 * 1/1 / 12 =</v>
      </c>
      <c r="O159" s="577" t="str">
        <f t="shared" si="107"/>
        <v xml:space="preserve"> = 354 * 1,038 * 1/1 / 12 =</v>
      </c>
      <c r="P159" s="577" t="str">
        <f t="shared" si="107"/>
        <v xml:space="preserve"> = 354 * 1,038 * 1/1 / 12 =</v>
      </c>
      <c r="Q159" s="577" t="str">
        <f t="shared" si="107"/>
        <v xml:space="preserve"> = 354 * 1,038 * 1/1 / 12 =</v>
      </c>
      <c r="R159" s="577" t="str">
        <f t="shared" si="107"/>
        <v xml:space="preserve"> = 354 * 1,038 * 1/1 / 12 =</v>
      </c>
      <c r="S159" s="578"/>
      <c r="T159" s="564"/>
      <c r="U159" s="127"/>
      <c r="V159" s="127"/>
      <c r="W159" s="127"/>
      <c r="X159" s="127"/>
      <c r="Y159" s="127"/>
    </row>
    <row r="160" spans="1:25" s="565" customFormat="1">
      <c r="A160" s="575"/>
      <c r="B160" s="576">
        <f t="shared" si="94"/>
        <v>16</v>
      </c>
      <c r="C160" s="576"/>
      <c r="D160" s="576">
        <f t="shared" si="92"/>
        <v>60</v>
      </c>
      <c r="E160" s="576"/>
      <c r="F160" s="581" t="s">
        <v>171</v>
      </c>
      <c r="G160" s="577" t="str">
        <f t="shared" ref="G160:R160" si="108">"= "&amp;TEXT(G20,"#.###,00")&amp;" * "&amp;IF(E20&gt;0,G$6,"")&amp;IF($D20&gt;0," * "&amp;TEXT(G$8,"0,0000"),"")&amp;" * "&amp;TEXT(G$3,"#0/#0")&amp;" / 12 ="</f>
        <v>= ,00 * 1,017162 * 0,0000 * 1/1 / 12 =</v>
      </c>
      <c r="H160" s="577" t="str">
        <f t="shared" si="108"/>
        <v>= ,00 * 1,017162 * 0,0000 * 1/1 / 12 =</v>
      </c>
      <c r="I160" s="577" t="str">
        <f t="shared" si="108"/>
        <v>= ,00 *  * 0,0000 * 1/1 / 12 =</v>
      </c>
      <c r="J160" s="577" t="str">
        <f t="shared" si="108"/>
        <v>= ,00 *  * 0,0000 * 1/1 / 12 =</v>
      </c>
      <c r="K160" s="577" t="str">
        <f t="shared" si="108"/>
        <v>= ,00 *  * 0,0000 * 1/1 / 12 =</v>
      </c>
      <c r="L160" s="577" t="str">
        <f t="shared" si="108"/>
        <v>= ,00 *  * 0,0000 * 1/1 / 12 =</v>
      </c>
      <c r="M160" s="577" t="str">
        <f t="shared" si="108"/>
        <v>= ,00 *  * 0,0000 * 1/1 / 12 =</v>
      </c>
      <c r="N160" s="577" t="str">
        <f t="shared" si="108"/>
        <v>= ,00 *  * 0,0000 * 1/1 / 12 =</v>
      </c>
      <c r="O160" s="577" t="str">
        <f t="shared" si="108"/>
        <v>= ,00 *  * 0,0000 * 1/1 / 12 =</v>
      </c>
      <c r="P160" s="577" t="str">
        <f t="shared" si="108"/>
        <v>= ,00 *  * 0,0000 * 1/1 / 12 =</v>
      </c>
      <c r="Q160" s="577" t="str">
        <f t="shared" si="108"/>
        <v>= ,00 *  * 0,0000 * 1/1 / 12 =</v>
      </c>
      <c r="R160" s="577" t="str">
        <f t="shared" si="108"/>
        <v>= ,00 *  * 0,0000 * 1/1 / 12 =</v>
      </c>
      <c r="S160" s="578"/>
      <c r="T160" s="564"/>
      <c r="U160" s="127"/>
      <c r="V160" s="127"/>
      <c r="W160" s="127"/>
      <c r="X160" s="127"/>
      <c r="Y160" s="127"/>
    </row>
    <row r="161" spans="1:25" s="565" customFormat="1">
      <c r="A161" s="575"/>
      <c r="B161" s="576">
        <f t="shared" si="94"/>
        <v>17</v>
      </c>
      <c r="C161" s="576"/>
      <c r="D161" s="576">
        <f t="shared" si="92"/>
        <v>61</v>
      </c>
      <c r="E161" s="576"/>
      <c r="F161" s="581" t="s">
        <v>172</v>
      </c>
      <c r="G161" s="577" t="str">
        <f>"= 108,35 * "&amp;TEXT(G$3,"#0/#0")&amp;" ="</f>
        <v>= 108,35 * 1/1 =</v>
      </c>
      <c r="H161" s="577" t="str">
        <f t="shared" ref="H161:R161" si="109">"= 108,35 * "&amp;TEXT(H$3,"#0/#0")&amp;" ="</f>
        <v>= 108,35 * 1/1 =</v>
      </c>
      <c r="I161" s="577" t="str">
        <f t="shared" si="109"/>
        <v>= 108,35 * 1/1 =</v>
      </c>
      <c r="J161" s="577" t="str">
        <f t="shared" si="109"/>
        <v>= 108,35 * 1/1 =</v>
      </c>
      <c r="K161" s="577" t="str">
        <f t="shared" si="109"/>
        <v>= 108,35 * 1/1 =</v>
      </c>
      <c r="L161" s="577" t="str">
        <f t="shared" si="109"/>
        <v>= 108,35 * 1/1 =</v>
      </c>
      <c r="M161" s="577" t="str">
        <f t="shared" si="109"/>
        <v>= 108,35 * 1/1 =</v>
      </c>
      <c r="N161" s="577" t="str">
        <f t="shared" si="109"/>
        <v>= 108,35 * 1/1 =</v>
      </c>
      <c r="O161" s="577" t="str">
        <f t="shared" si="109"/>
        <v>= 108,35 * 1/1 =</v>
      </c>
      <c r="P161" s="577" t="str">
        <f t="shared" si="109"/>
        <v>= 108,35 * 1/1 =</v>
      </c>
      <c r="Q161" s="577" t="str">
        <f t="shared" si="109"/>
        <v>= 108,35 * 1/1 =</v>
      </c>
      <c r="R161" s="577" t="str">
        <f t="shared" si="109"/>
        <v>= 108,35 * 1/1 =</v>
      </c>
      <c r="S161" s="578"/>
      <c r="T161" s="564"/>
      <c r="U161" s="127"/>
      <c r="V161" s="127"/>
      <c r="W161" s="127"/>
      <c r="X161" s="127"/>
      <c r="Y161" s="127"/>
    </row>
    <row r="162" spans="1:25" s="565" customFormat="1">
      <c r="A162" s="575"/>
      <c r="B162" s="576">
        <f t="shared" si="94"/>
        <v>18</v>
      </c>
      <c r="C162" s="576"/>
      <c r="D162" s="576">
        <f t="shared" si="92"/>
        <v>62</v>
      </c>
      <c r="E162" s="576"/>
      <c r="F162" s="581" t="s">
        <v>266</v>
      </c>
      <c r="G162" s="577" t="str">
        <f>"= "&amp;-(MAX(0,MIN(G$21,G$22*1))+G$25)&amp;" * 4,62% * SUM(lin. 1 - lin. 17) ="</f>
        <v>= 0 * 4,62% * SUM(lin. 1 - lin. 17) =</v>
      </c>
      <c r="H162" s="577" t="str">
        <f t="shared" ref="H162:R162" si="110">"= "&amp;-(MAX(0,MIN(H$21,H$22*1))+H$25)&amp;" * 4,62% * SUM(lin. 1 - lin. 17) ="</f>
        <v>= 0 * 4,62% * SUM(lin. 1 - lin. 17) =</v>
      </c>
      <c r="I162" s="577" t="str">
        <f t="shared" si="110"/>
        <v>= 0 * 4,62% * SUM(lin. 1 - lin. 17) =</v>
      </c>
      <c r="J162" s="577" t="str">
        <f t="shared" si="110"/>
        <v>= 0 * 4,62% * SUM(lin. 1 - lin. 17) =</v>
      </c>
      <c r="K162" s="577" t="str">
        <f t="shared" si="110"/>
        <v>= 0 * 4,62% * SUM(lin. 1 - lin. 17) =</v>
      </c>
      <c r="L162" s="577" t="str">
        <f t="shared" si="110"/>
        <v>= 0 * 4,62% * SUM(lin. 1 - lin. 17) =</v>
      </c>
      <c r="M162" s="577" t="str">
        <f t="shared" si="110"/>
        <v>= 0 * 4,62% * SUM(lin. 1 - lin. 17) =</v>
      </c>
      <c r="N162" s="577" t="str">
        <f t="shared" si="110"/>
        <v>= 0 * 4,62% * SUM(lin. 1 - lin. 17) =</v>
      </c>
      <c r="O162" s="577" t="str">
        <f t="shared" si="110"/>
        <v>= 0 * 4,62% * SUM(lin. 1 - lin. 17) =</v>
      </c>
      <c r="P162" s="577" t="str">
        <f t="shared" si="110"/>
        <v>= 0 * 4,62% * SUM(lin. 1 - lin. 17) =</v>
      </c>
      <c r="Q162" s="577" t="str">
        <f t="shared" si="110"/>
        <v>= 0 * 4,62% * SUM(lin. 1 - lin. 17) =</v>
      </c>
      <c r="R162" s="577" t="str">
        <f t="shared" si="110"/>
        <v>= 0 * 4,62% * SUM(lin. 1 - lin. 17) =</v>
      </c>
      <c r="S162" s="578"/>
      <c r="T162" s="564"/>
      <c r="U162" s="127"/>
      <c r="V162" s="127"/>
      <c r="W162" s="127"/>
      <c r="X162" s="127"/>
      <c r="Y162" s="127"/>
    </row>
    <row r="163" spans="1:25" s="565" customFormat="1">
      <c r="A163" s="575"/>
      <c r="B163" s="576">
        <f t="shared" si="94"/>
        <v>19</v>
      </c>
      <c r="C163" s="576"/>
      <c r="D163" s="576">
        <f t="shared" si="92"/>
        <v>63</v>
      </c>
      <c r="E163" s="576"/>
      <c r="F163" s="581" t="s">
        <v>205</v>
      </c>
      <c r="G163" s="577" t="str">
        <f t="shared" ref="G163:N163" si="111">"= ("&amp;TEXT(G$21,"0,00")&amp;" - "&amp;TEXT(G$22,"0,00")&amp;") * 4,62% * ("&amp;TEXT(G$23,"0,0000")&amp;" - "&amp;TEXT(G$8,"0,0000")&amp;") * "&amp;"(lin. 1, lin. 2"&amp;IF($D49&gt;0,", lin. 5","")&amp;IF($D50&gt;0,", lin. 6","")&amp;IF($D51&gt;0,", lin. 7","")&amp;IF($D52&gt;0,", lin. 8","")&amp;IF($D53&gt;0,", lin. 9","")&amp;IF($D54&gt;0,", lin. 10","")&amp;", lin. 11 - lin. 14"&amp;IF($D60&gt;0,", lin. 16","")&amp;") / "&amp;TEXT(G$8,"0,0000")&amp;" ="</f>
        <v>= (0,00 - 0,00) * 4,62% * (0,0000 - 0,0000) * (lin. 1, lin. 2, lin. 8, lin. 11 - lin. 14, lin. 16) / 0,0000 =</v>
      </c>
      <c r="H163" s="577" t="str">
        <f t="shared" si="111"/>
        <v>= (0,00 - 0,00) * 4,62% * (0,0000 - 0,0000) * (lin. 1, lin. 2, lin. 8, lin. 11 - lin. 14, lin. 16) / 0,0000 =</v>
      </c>
      <c r="I163" s="577" t="str">
        <f t="shared" si="111"/>
        <v>= (0,00 - 0,00) * 4,62% * (0,0000 - 0,0000) * (lin. 1, lin. 2, lin. 8, lin. 11 - lin. 14, lin. 16) / 0,0000 =</v>
      </c>
      <c r="J163" s="577" t="str">
        <f t="shared" si="111"/>
        <v>= (0,00 - 0,00) * 4,62% * (0,0000 - 0,0000) * (lin. 1, lin. 2, lin. 8, lin. 11 - lin. 14, lin. 16) / 0,0000 =</v>
      </c>
      <c r="K163" s="577" t="str">
        <f t="shared" si="111"/>
        <v>= (0,00 - 0,00) * 4,62% * (0,0000 - 0,0000) * (lin. 1, lin. 2, lin. 8, lin. 11 - lin. 14, lin. 16) / 0,0000 =</v>
      </c>
      <c r="L163" s="577" t="str">
        <f t="shared" si="111"/>
        <v>= (0,00 - 0,00) * 4,62% * (0,0000 - 0,0000) * (lin. 1, lin. 2, lin. 8, lin. 11 - lin. 14, lin. 16) / 0,0000 =</v>
      </c>
      <c r="M163" s="577" t="str">
        <f t="shared" si="111"/>
        <v>= (0,00 - 0,00) * 4,62% * (0,0000 - 0,0000) * (lin. 1, lin. 2, lin. 8, lin. 11 - lin. 14, lin. 16) / 0,0000 =</v>
      </c>
      <c r="N163" s="577" t="str">
        <f t="shared" si="111"/>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4"/>
        <v>20</v>
      </c>
      <c r="C164" s="576"/>
      <c r="D164" s="576">
        <f t="shared" si="92"/>
        <v>64</v>
      </c>
      <c r="E164" s="576"/>
      <c r="F164" s="581" t="s">
        <v>464</v>
      </c>
      <c r="G164" s="577" t="str">
        <f t="shared" ref="G164:L164" si="112">"= "&amp;G28&amp;" km a "&amp;$D$28&amp;" ="</f>
        <v>=  km a 2,1 =</v>
      </c>
      <c r="H164" s="577" t="str">
        <f t="shared" si="112"/>
        <v>=  km a 2,1 =</v>
      </c>
      <c r="I164" s="577" t="str">
        <f t="shared" si="112"/>
        <v>=  km a 2,1 =</v>
      </c>
      <c r="J164" s="577" t="str">
        <f t="shared" si="112"/>
        <v>=  km a 2,1 =</v>
      </c>
      <c r="K164" s="577" t="str">
        <f t="shared" si="112"/>
        <v>=  km a 2,1 =</v>
      </c>
      <c r="L164" s="577" t="str">
        <f t="shared" si="112"/>
        <v>=  km a 2,1 =</v>
      </c>
      <c r="M164" s="582" t="str">
        <f t="shared" ref="M164:R164" si="113">"= "&amp;M28&amp;" km a "&amp;$E$28&amp;" ="</f>
        <v>=  km a  =</v>
      </c>
      <c r="N164" s="582" t="str">
        <f t="shared" si="113"/>
        <v>=  km a  =</v>
      </c>
      <c r="O164" s="582" t="str">
        <f t="shared" si="113"/>
        <v>=  km a  =</v>
      </c>
      <c r="P164" s="582" t="str">
        <f t="shared" si="113"/>
        <v>=  km a  =</v>
      </c>
      <c r="Q164" s="582" t="str">
        <f t="shared" si="113"/>
        <v>=  km a  =</v>
      </c>
      <c r="R164" s="582" t="str">
        <f t="shared" si="113"/>
        <v>=  km a  =</v>
      </c>
      <c r="S164" s="578"/>
      <c r="T164" s="564"/>
      <c r="U164" s="127"/>
      <c r="V164" s="127"/>
      <c r="W164" s="127"/>
      <c r="X164" s="127"/>
      <c r="Y164" s="127"/>
    </row>
    <row r="165" spans="1:25" s="565" customFormat="1">
      <c r="A165" s="575"/>
      <c r="B165" s="576">
        <f t="shared" si="94"/>
        <v>21</v>
      </c>
      <c r="C165" s="576"/>
      <c r="D165" s="576">
        <f t="shared" si="92"/>
        <v>65</v>
      </c>
      <c r="E165" s="576"/>
      <c r="F165" s="581" t="s">
        <v>465</v>
      </c>
      <c r="G165" s="577" t="str">
        <f t="shared" ref="G165:L165" si="114">"= "&amp;G29&amp;" km a "&amp;$D$29&amp;" ="</f>
        <v>=  km a 3,73 =</v>
      </c>
      <c r="H165" s="577" t="str">
        <f t="shared" si="114"/>
        <v>=  km a 3,73 =</v>
      </c>
      <c r="I165" s="577" t="str">
        <f t="shared" si="114"/>
        <v>=  km a 3,73 =</v>
      </c>
      <c r="J165" s="577" t="str">
        <f t="shared" si="114"/>
        <v>=  km a 3,73 =</v>
      </c>
      <c r="K165" s="577" t="str">
        <f t="shared" si="114"/>
        <v>=  km a 3,73 =</v>
      </c>
      <c r="L165" s="577" t="str">
        <f t="shared" si="114"/>
        <v>=  km a 3,73 =</v>
      </c>
      <c r="M165" s="582" t="str">
        <f t="shared" ref="M165:R165" si="115">"= "&amp;M29&amp;" km a "&amp;$E$29&amp;" ="</f>
        <v>=  km a  =</v>
      </c>
      <c r="N165" s="582" t="str">
        <f t="shared" si="115"/>
        <v>=  km a  =</v>
      </c>
      <c r="O165" s="582" t="str">
        <f t="shared" si="115"/>
        <v>=  km a  =</v>
      </c>
      <c r="P165" s="582" t="str">
        <f t="shared" si="115"/>
        <v>=  km a  =</v>
      </c>
      <c r="Q165" s="582" t="str">
        <f t="shared" si="115"/>
        <v>=  km a  =</v>
      </c>
      <c r="R165" s="582" t="str">
        <f t="shared" si="115"/>
        <v>=  km a  =</v>
      </c>
      <c r="S165" s="578"/>
      <c r="T165" s="564"/>
      <c r="U165" s="127"/>
      <c r="V165" s="127"/>
      <c r="W165" s="127"/>
      <c r="X165" s="127"/>
      <c r="Y165" s="127"/>
    </row>
    <row r="166" spans="1:25" s="565" customFormat="1">
      <c r="A166" s="575"/>
      <c r="B166" s="576">
        <f t="shared" si="94"/>
        <v>22</v>
      </c>
      <c r="C166" s="576"/>
      <c r="D166" s="576">
        <f t="shared" si="92"/>
        <v>66</v>
      </c>
      <c r="E166" s="576"/>
      <c r="F166" s="583" t="s">
        <v>466</v>
      </c>
      <c r="G166" s="577" t="str">
        <f>"(spørg administrationen vedr. beregning)"</f>
        <v>(spørg administrationen vedr. beregning)</v>
      </c>
      <c r="H166" s="577" t="str">
        <f t="shared" ref="H166:R166" si="116">"(spørg administrationen vedr. beregning)"</f>
        <v>(spørg administrationen vedr. beregning)</v>
      </c>
      <c r="I166" s="577" t="str">
        <f t="shared" si="116"/>
        <v>(spørg administrationen vedr. beregning)</v>
      </c>
      <c r="J166" s="577" t="str">
        <f t="shared" si="116"/>
        <v>(spørg administrationen vedr. beregning)</v>
      </c>
      <c r="K166" s="577" t="str">
        <f t="shared" si="116"/>
        <v>(spørg administrationen vedr. beregning)</v>
      </c>
      <c r="L166" s="577" t="str">
        <f t="shared" si="116"/>
        <v>(spørg administrationen vedr. beregning)</v>
      </c>
      <c r="M166" s="577" t="str">
        <f t="shared" si="116"/>
        <v>(spørg administrationen vedr. beregning)</v>
      </c>
      <c r="N166" s="577" t="str">
        <f t="shared" si="116"/>
        <v>(spørg administrationen vedr. beregning)</v>
      </c>
      <c r="O166" s="577" t="str">
        <f t="shared" si="116"/>
        <v>(spørg administrationen vedr. beregning)</v>
      </c>
      <c r="P166" s="577" t="str">
        <f t="shared" si="116"/>
        <v>(spørg administrationen vedr. beregning)</v>
      </c>
      <c r="Q166" s="577" t="str">
        <f t="shared" si="116"/>
        <v>(spørg administrationen vedr. beregning)</v>
      </c>
      <c r="R166" s="577" t="str">
        <f t="shared" si="116"/>
        <v>(spørg administrationen vedr. beregning)</v>
      </c>
      <c r="S166" s="578"/>
      <c r="T166" s="564"/>
      <c r="U166" s="127"/>
      <c r="V166" s="127"/>
      <c r="W166" s="127"/>
      <c r="X166" s="127"/>
      <c r="Y166" s="127"/>
    </row>
    <row r="167" spans="1:25" s="565" customFormat="1">
      <c r="A167" s="575"/>
      <c r="B167" s="576">
        <f t="shared" si="94"/>
        <v>23</v>
      </c>
      <c r="C167" s="576"/>
      <c r="D167" s="576">
        <f t="shared" si="92"/>
        <v>67</v>
      </c>
      <c r="E167" s="576"/>
      <c r="F167" s="583" t="s">
        <v>467</v>
      </c>
      <c r="G167" s="577" t="str">
        <f>"(højst 8.000 kr. er skattefri, resten i lin. 28)"</f>
        <v>(højst 8.000 kr. er skattefri, resten i lin. 28)</v>
      </c>
      <c r="H167" s="577" t="str">
        <f t="shared" ref="H167:R167" si="117">"(højst 8.000 kr. er skattefri, resten i lin. 28)"</f>
        <v>(højst 8.000 kr. er skattefri, resten i lin. 28)</v>
      </c>
      <c r="I167" s="577" t="str">
        <f t="shared" si="117"/>
        <v>(højst 8.000 kr. er skattefri, resten i lin. 28)</v>
      </c>
      <c r="J167" s="577" t="str">
        <f t="shared" si="117"/>
        <v>(højst 8.000 kr. er skattefri, resten i lin. 28)</v>
      </c>
      <c r="K167" s="577" t="str">
        <f t="shared" si="117"/>
        <v>(højst 8.000 kr. er skattefri, resten i lin. 28)</v>
      </c>
      <c r="L167" s="577" t="str">
        <f t="shared" si="117"/>
        <v>(højst 8.000 kr. er skattefri, resten i lin. 28)</v>
      </c>
      <c r="M167" s="577" t="str">
        <f t="shared" si="117"/>
        <v>(højst 8.000 kr. er skattefri, resten i lin. 28)</v>
      </c>
      <c r="N167" s="577" t="str">
        <f t="shared" si="117"/>
        <v>(højst 8.000 kr. er skattefri, resten i lin. 28)</v>
      </c>
      <c r="O167" s="577" t="str">
        <f t="shared" si="117"/>
        <v>(højst 8.000 kr. er skattefri, resten i lin. 28)</v>
      </c>
      <c r="P167" s="577" t="str">
        <f t="shared" si="117"/>
        <v>(højst 8.000 kr. er skattefri, resten i lin. 28)</v>
      </c>
      <c r="Q167" s="577" t="str">
        <f t="shared" si="117"/>
        <v>(højst 8.000 kr. er skattefri, resten i lin. 28)</v>
      </c>
      <c r="R167" s="577" t="str">
        <f t="shared" si="117"/>
        <v>(højst 8.000 kr. er skattefri, resten i lin. 28)</v>
      </c>
      <c r="S167" s="578"/>
      <c r="T167" s="564"/>
      <c r="U167" s="127"/>
      <c r="V167" s="127"/>
      <c r="W167" s="127"/>
      <c r="X167" s="127"/>
      <c r="Y167" s="127"/>
    </row>
    <row r="168" spans="1:25" s="565" customFormat="1">
      <c r="A168" s="575"/>
      <c r="B168" s="576">
        <f t="shared" si="94"/>
        <v>24</v>
      </c>
      <c r="C168" s="576"/>
      <c r="D168" s="576">
        <f t="shared" si="92"/>
        <v>68</v>
      </c>
      <c r="E168" s="576"/>
      <c r="F168" s="583" t="s">
        <v>470</v>
      </c>
      <c r="G168" s="577" t="str">
        <f t="shared" ref="G168:R168" si="118">"= "&amp;G32&amp;" t. a "&amp;ROUND(19*G$6,2)&amp;" ="</f>
        <v>=  t. a 19,33 =</v>
      </c>
      <c r="H168" s="577" t="str">
        <f t="shared" si="118"/>
        <v>=  t. a 19,33 =</v>
      </c>
      <c r="I168" s="577" t="str">
        <f t="shared" si="118"/>
        <v>=  t. a 19,33 =</v>
      </c>
      <c r="J168" s="577" t="str">
        <f t="shared" si="118"/>
        <v>=  t. a 19,33 =</v>
      </c>
      <c r="K168" s="577" t="str">
        <f t="shared" si="118"/>
        <v>=  t. a 19,33 =</v>
      </c>
      <c r="L168" s="577" t="str">
        <f t="shared" si="118"/>
        <v>=  t. a 19,33 =</v>
      </c>
      <c r="M168" s="577" t="str">
        <f t="shared" si="118"/>
        <v>=  t. a 19,33 =</v>
      </c>
      <c r="N168" s="577" t="str">
        <f t="shared" si="118"/>
        <v>=  t. a 19,33 =</v>
      </c>
      <c r="O168" s="577" t="str">
        <f t="shared" si="118"/>
        <v>=  t. a 19,72 =</v>
      </c>
      <c r="P168" s="577" t="str">
        <f t="shared" si="118"/>
        <v>=  t. a 19,72 =</v>
      </c>
      <c r="Q168" s="577" t="str">
        <f t="shared" si="118"/>
        <v>=  t. a 19,72 =</v>
      </c>
      <c r="R168" s="577" t="str">
        <f t="shared" si="118"/>
        <v>=  t. a 19,72 =</v>
      </c>
      <c r="S168" s="578"/>
      <c r="T168" s="564"/>
      <c r="U168" s="127"/>
      <c r="V168" s="127"/>
      <c r="W168" s="127"/>
      <c r="X168" s="127"/>
      <c r="Y168" s="127"/>
    </row>
    <row r="169" spans="1:25" s="565" customFormat="1">
      <c r="A169" s="575"/>
      <c r="B169" s="576">
        <f t="shared" si="94"/>
        <v>25</v>
      </c>
      <c r="C169" s="576"/>
      <c r="D169" s="576">
        <f t="shared" si="92"/>
        <v>69</v>
      </c>
      <c r="E169" s="576"/>
      <c r="F169" s="583" t="s">
        <v>468</v>
      </c>
      <c r="G169" s="577" t="e">
        <f t="shared" ref="G169:R169" si="119">"= "&amp;G33&amp;" t. a "&amp;TEXT(G$140,"#,00")&amp;" * 25% ="</f>
        <v>#DIV/0!</v>
      </c>
      <c r="H169" s="577" t="e">
        <f t="shared" si="119"/>
        <v>#DIV/0!</v>
      </c>
      <c r="I169" s="577" t="e">
        <f t="shared" si="119"/>
        <v>#DIV/0!</v>
      </c>
      <c r="J169" s="577" t="e">
        <f t="shared" si="119"/>
        <v>#DIV/0!</v>
      </c>
      <c r="K169" s="577" t="e">
        <f t="shared" si="119"/>
        <v>#DIV/0!</v>
      </c>
      <c r="L169" s="577" t="e">
        <f t="shared" si="119"/>
        <v>#DIV/0!</v>
      </c>
      <c r="M169" s="577" t="e">
        <f t="shared" si="119"/>
        <v>#DIV/0!</v>
      </c>
      <c r="N169" s="577" t="e">
        <f t="shared" si="119"/>
        <v>#DIV/0!</v>
      </c>
      <c r="O169" s="577" t="e">
        <f t="shared" si="119"/>
        <v>#DIV/0!</v>
      </c>
      <c r="P169" s="577" t="e">
        <f t="shared" si="119"/>
        <v>#DIV/0!</v>
      </c>
      <c r="Q169" s="577" t="e">
        <f t="shared" si="119"/>
        <v>#DIV/0!</v>
      </c>
      <c r="R169" s="577" t="e">
        <f t="shared" si="119"/>
        <v>#DIV/0!</v>
      </c>
      <c r="S169" s="578"/>
      <c r="T169" s="564"/>
      <c r="U169" s="127"/>
      <c r="V169" s="127"/>
      <c r="W169" s="127"/>
      <c r="X169" s="127"/>
      <c r="Y169" s="127"/>
    </row>
    <row r="170" spans="1:25" s="565" customFormat="1">
      <c r="A170" s="575"/>
      <c r="B170" s="576">
        <f t="shared" si="94"/>
        <v>26</v>
      </c>
      <c r="C170" s="576"/>
      <c r="D170" s="576">
        <f t="shared" si="92"/>
        <v>70</v>
      </c>
      <c r="E170" s="576"/>
      <c r="F170" s="583" t="s">
        <v>469</v>
      </c>
      <c r="G170" s="577" t="e">
        <f t="shared" ref="G170:R170" si="120">"= "&amp;G34&amp;" t. a "&amp;TEXT(G$140,"#,00")&amp;" *50% ="</f>
        <v>#DIV/0!</v>
      </c>
      <c r="H170" s="577" t="e">
        <f t="shared" si="120"/>
        <v>#DIV/0!</v>
      </c>
      <c r="I170" s="577" t="e">
        <f t="shared" si="120"/>
        <v>#DIV/0!</v>
      </c>
      <c r="J170" s="577" t="e">
        <f t="shared" si="120"/>
        <v>#DIV/0!</v>
      </c>
      <c r="K170" s="577" t="e">
        <f t="shared" si="120"/>
        <v>#DIV/0!</v>
      </c>
      <c r="L170" s="577" t="e">
        <f t="shared" si="120"/>
        <v>#DIV/0!</v>
      </c>
      <c r="M170" s="577" t="e">
        <f t="shared" si="120"/>
        <v>#DIV/0!</v>
      </c>
      <c r="N170" s="577" t="e">
        <f t="shared" si="120"/>
        <v>#DIV/0!</v>
      </c>
      <c r="O170" s="577" t="e">
        <f t="shared" si="120"/>
        <v>#DIV/0!</v>
      </c>
      <c r="P170" s="577" t="e">
        <f t="shared" si="120"/>
        <v>#DIV/0!</v>
      </c>
      <c r="Q170" s="577" t="e">
        <f t="shared" si="120"/>
        <v>#DIV/0!</v>
      </c>
      <c r="R170" s="577" t="e">
        <f t="shared" si="120"/>
        <v>#DIV/0!</v>
      </c>
      <c r="S170" s="578"/>
      <c r="T170" s="564"/>
      <c r="U170" s="127"/>
      <c r="V170" s="127"/>
      <c r="W170" s="127"/>
      <c r="X170" s="127"/>
      <c r="Y170" s="127"/>
    </row>
    <row r="171" spans="1:25" s="565" customFormat="1">
      <c r="A171" s="575"/>
      <c r="B171" s="576">
        <f t="shared" si="94"/>
        <v>27</v>
      </c>
      <c r="C171" s="576"/>
      <c r="D171" s="576">
        <f t="shared" ref="D171:D172" si="121">B72</f>
        <v>72</v>
      </c>
      <c r="E171" s="576"/>
      <c r="F171" s="583" t="s">
        <v>547</v>
      </c>
      <c r="G171" s="577" t="e">
        <f t="shared" ref="G171:R171" si="122">"= "&amp;G35&amp;" t. a "&amp;TEXT(G$140,"#,00")&amp;" ="</f>
        <v>#DIV/0!</v>
      </c>
      <c r="H171" s="577" t="e">
        <f t="shared" si="122"/>
        <v>#DIV/0!</v>
      </c>
      <c r="I171" s="577" t="e">
        <f t="shared" si="122"/>
        <v>#DIV/0!</v>
      </c>
      <c r="J171" s="577" t="e">
        <f t="shared" si="122"/>
        <v>#DIV/0!</v>
      </c>
      <c r="K171" s="577" t="e">
        <f t="shared" si="122"/>
        <v>#DIV/0!</v>
      </c>
      <c r="L171" s="577" t="e">
        <f t="shared" si="122"/>
        <v>#DIV/0!</v>
      </c>
      <c r="M171" s="577" t="e">
        <f t="shared" si="122"/>
        <v>#DIV/0!</v>
      </c>
      <c r="N171" s="577" t="e">
        <f t="shared" si="122"/>
        <v>#DIV/0!</v>
      </c>
      <c r="O171" s="577" t="e">
        <f t="shared" si="122"/>
        <v>#DIV/0!</v>
      </c>
      <c r="P171" s="577" t="e">
        <f t="shared" si="122"/>
        <v>#DIV/0!</v>
      </c>
      <c r="Q171" s="577" t="e">
        <f t="shared" si="122"/>
        <v>#DIV/0!</v>
      </c>
      <c r="R171" s="577" t="e">
        <f t="shared" si="122"/>
        <v>#DIV/0!</v>
      </c>
      <c r="S171" s="578"/>
      <c r="T171" s="564"/>
      <c r="U171" s="127"/>
      <c r="V171" s="127"/>
      <c r="W171" s="127"/>
      <c r="X171" s="127"/>
      <c r="Y171" s="127"/>
    </row>
    <row r="172" spans="1:25" s="565" customFormat="1">
      <c r="A172" s="575"/>
      <c r="B172" s="576">
        <f t="shared" si="94"/>
        <v>28</v>
      </c>
      <c r="C172" s="576"/>
      <c r="D172" s="576">
        <f t="shared" si="121"/>
        <v>73</v>
      </c>
      <c r="E172" s="576"/>
      <c r="F172" s="584" t="s">
        <v>463</v>
      </c>
      <c r="G172" s="577" t="str">
        <f t="shared" ref="G172:O172" si="123">"= "&amp;IF(G31&gt;0,"Jub.gr.-rest + ","")&amp;IF(G36&gt;0,"merarbejde + ","")&amp;IF(G37&gt;0,"feriefridage + ","")&amp;IF(G39&gt;0,$F39&amp;" + ","")&amp;IF(G40&gt;0,$F40&amp;" + ","")&amp;IF(G41&gt;0,$F41&amp;" + ","")&amp;IF(G42&gt;0,$F42&amp;" + ","")&amp;IF(G43&gt;0,$F43,"")&amp;" ="</f>
        <v>=  =</v>
      </c>
      <c r="H172" s="577" t="str">
        <f t="shared" si="123"/>
        <v>=  =</v>
      </c>
      <c r="I172" s="577" t="str">
        <f t="shared" si="123"/>
        <v>=  =</v>
      </c>
      <c r="J172" s="577" t="str">
        <f t="shared" si="123"/>
        <v>=  =</v>
      </c>
      <c r="K172" s="577" t="str">
        <f t="shared" si="123"/>
        <v>=  =</v>
      </c>
      <c r="L172" s="577" t="str">
        <f t="shared" si="123"/>
        <v>=  =</v>
      </c>
      <c r="M172" s="577" t="str">
        <f t="shared" si="123"/>
        <v>=  =</v>
      </c>
      <c r="N172" s="577" t="str">
        <f t="shared" si="123"/>
        <v>=  =</v>
      </c>
      <c r="O172" s="577" t="str">
        <f t="shared" si="123"/>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4"/>
        <v>29</v>
      </c>
      <c r="C173" s="576"/>
      <c r="D173" s="576">
        <f t="shared" ref="D173:D205" si="124">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4"/>
        <v>30</v>
      </c>
      <c r="C174" s="576"/>
      <c r="D174" s="576">
        <f t="shared" si="124"/>
        <v>74</v>
      </c>
      <c r="E174" s="576"/>
      <c r="F174" s="580" t="s">
        <v>111</v>
      </c>
      <c r="G174" s="577" t="str">
        <f t="shared" ref="G174:R174" si="125">"= "&amp;TEXT(G45,"#.###,00")&amp;" * 17,3% / 3  ="</f>
        <v>= ,00 * 17,3% / 3  =</v>
      </c>
      <c r="H174" s="577" t="str">
        <f t="shared" si="125"/>
        <v>= ,00 * 17,3% / 3  =</v>
      </c>
      <c r="I174" s="577" t="str">
        <f t="shared" si="125"/>
        <v>= ,00 * 17,3% / 3  =</v>
      </c>
      <c r="J174" s="577" t="str">
        <f t="shared" si="125"/>
        <v>= ,00 * 17,3% / 3  =</v>
      </c>
      <c r="K174" s="577" t="str">
        <f t="shared" si="125"/>
        <v>= ,00 * 17,3% / 3  =</v>
      </c>
      <c r="L174" s="577" t="str">
        <f t="shared" si="125"/>
        <v>= ,00 * 17,3% / 3  =</v>
      </c>
      <c r="M174" s="577" t="str">
        <f t="shared" si="125"/>
        <v>= ,00 * 17,3% / 3  =</v>
      </c>
      <c r="N174" s="577" t="str">
        <f t="shared" si="125"/>
        <v>= ,00 * 17,3% / 3  =</v>
      </c>
      <c r="O174" s="577" t="str">
        <f t="shared" si="125"/>
        <v>= ,00 * 17,3% / 3  =</v>
      </c>
      <c r="P174" s="577" t="str">
        <f t="shared" si="125"/>
        <v>= ,00 * 17,3% / 3  =</v>
      </c>
      <c r="Q174" s="577" t="str">
        <f t="shared" si="125"/>
        <v>= ,00 * 17,3% / 3  =</v>
      </c>
      <c r="R174" s="577" t="str">
        <f t="shared" si="125"/>
        <v>= ,00 * 17,3% / 3  =</v>
      </c>
      <c r="S174" s="578"/>
      <c r="T174" s="578"/>
      <c r="U174" s="127"/>
      <c r="V174" s="127"/>
      <c r="W174" s="127"/>
      <c r="X174" s="127"/>
      <c r="Y174" s="127"/>
    </row>
    <row r="175" spans="1:25" s="565" customFormat="1">
      <c r="A175" s="575"/>
      <c r="B175" s="576">
        <f t="shared" si="94"/>
        <v>31</v>
      </c>
      <c r="C175" s="576"/>
      <c r="D175" s="576">
        <f t="shared" si="124"/>
        <v>75</v>
      </c>
      <c r="E175" s="576"/>
      <c r="F175" s="581" t="s">
        <v>196</v>
      </c>
      <c r="G175" s="577" t="str">
        <f t="shared" ref="G175:R175" si="126">"= "&amp;TEXT(G47,"#.###,00")&amp;" * 17,3% / 3  ="</f>
        <v>= ,00 * 17,3% / 3  =</v>
      </c>
      <c r="H175" s="577" t="str">
        <f t="shared" si="126"/>
        <v>= ,00 * 17,3% / 3  =</v>
      </c>
      <c r="I175" s="577" t="str">
        <f t="shared" si="126"/>
        <v>= ,00 * 17,3% / 3  =</v>
      </c>
      <c r="J175" s="577" t="str">
        <f t="shared" si="126"/>
        <v>= ,00 * 17,3% / 3  =</v>
      </c>
      <c r="K175" s="577" t="str">
        <f t="shared" si="126"/>
        <v>= ,00 * 17,3% / 3  =</v>
      </c>
      <c r="L175" s="577" t="str">
        <f t="shared" si="126"/>
        <v>= ,00 * 17,3% / 3  =</v>
      </c>
      <c r="M175" s="577" t="str">
        <f t="shared" si="126"/>
        <v>= ,00 * 17,3% / 3  =</v>
      </c>
      <c r="N175" s="577" t="str">
        <f t="shared" si="126"/>
        <v>= ,00 * 17,3% / 3  =</v>
      </c>
      <c r="O175" s="577" t="str">
        <f t="shared" si="126"/>
        <v>= ,00 * 17,3% / 3  =</v>
      </c>
      <c r="P175" s="577" t="str">
        <f t="shared" si="126"/>
        <v>= ,00 * 17,3% / 3  =</v>
      </c>
      <c r="Q175" s="577" t="str">
        <f t="shared" si="126"/>
        <v>= ,00 * 17,3% / 3  =</v>
      </c>
      <c r="R175" s="577" t="str">
        <f t="shared" si="126"/>
        <v>= ,00 * 17,3% / 3  =</v>
      </c>
      <c r="S175" s="578"/>
      <c r="T175" s="564"/>
      <c r="U175" s="127"/>
      <c r="V175" s="127"/>
      <c r="W175" s="127"/>
      <c r="X175" s="127"/>
      <c r="Y175" s="127"/>
    </row>
    <row r="176" spans="1:25" s="565" customFormat="1">
      <c r="A176" s="575"/>
      <c r="B176" s="576">
        <f t="shared" si="94"/>
        <v>32</v>
      </c>
      <c r="C176" s="576"/>
      <c r="D176" s="576">
        <f t="shared" si="124"/>
        <v>76</v>
      </c>
      <c r="E176" s="576"/>
      <c r="F176" s="581" t="s">
        <v>112</v>
      </c>
      <c r="G176" s="577" t="str">
        <f t="shared" ref="G176:R176" si="127">"= "&amp;TEXT(G48,"#.###,00")&amp;" * 17,3% / 3  ="</f>
        <v>= ,00 * 17,3% / 3  =</v>
      </c>
      <c r="H176" s="577" t="str">
        <f t="shared" si="127"/>
        <v>= ,00 * 17,3% / 3  =</v>
      </c>
      <c r="I176" s="577" t="str">
        <f t="shared" si="127"/>
        <v>= ,00 * 17,3% / 3  =</v>
      </c>
      <c r="J176" s="577" t="str">
        <f t="shared" si="127"/>
        <v>= ,00 * 17,3% / 3  =</v>
      </c>
      <c r="K176" s="577" t="str">
        <f t="shared" si="127"/>
        <v>= ,00 * 17,3% / 3  =</v>
      </c>
      <c r="L176" s="577" t="str">
        <f t="shared" si="127"/>
        <v>= ,00 * 17,3% / 3  =</v>
      </c>
      <c r="M176" s="577" t="str">
        <f t="shared" si="127"/>
        <v>= ,00 * 17,3% / 3  =</v>
      </c>
      <c r="N176" s="577" t="str">
        <f t="shared" si="127"/>
        <v>= ,00 * 17,3% / 3  =</v>
      </c>
      <c r="O176" s="577" t="str">
        <f t="shared" si="127"/>
        <v>= ,00 * 17,3% / 3  =</v>
      </c>
      <c r="P176" s="577" t="str">
        <f t="shared" si="127"/>
        <v>= ,00 * 17,3% / 3  =</v>
      </c>
      <c r="Q176" s="577" t="str">
        <f t="shared" si="127"/>
        <v>= ,00 * 17,3% / 3  =</v>
      </c>
      <c r="R176" s="577" t="str">
        <f t="shared" si="127"/>
        <v>= ,00 * 17,3% / 3  =</v>
      </c>
      <c r="S176" s="578"/>
      <c r="T176" s="578"/>
      <c r="U176" s="127"/>
      <c r="V176" s="127"/>
      <c r="W176" s="127"/>
      <c r="X176" s="127"/>
      <c r="Y176" s="127"/>
    </row>
    <row r="177" spans="1:25" s="565" customFormat="1">
      <c r="A177" s="575"/>
      <c r="B177" s="576">
        <f t="shared" si="94"/>
        <v>33</v>
      </c>
      <c r="C177" s="576"/>
      <c r="D177" s="576">
        <f t="shared" si="124"/>
        <v>77</v>
      </c>
      <c r="E177" s="576"/>
      <c r="F177" s="581" t="s">
        <v>203</v>
      </c>
      <c r="G177" s="577" t="str">
        <f t="shared" ref="G177:R177" si="128">"= "&amp;TEXT(G49,"#.###,00")&amp;" * 17,3% / 3  ="</f>
        <v>= ,00 * 17,3% / 3  =</v>
      </c>
      <c r="H177" s="577" t="str">
        <f t="shared" si="128"/>
        <v>= ,00 * 17,3% / 3  =</v>
      </c>
      <c r="I177" s="577" t="str">
        <f t="shared" si="128"/>
        <v>= ,00 * 17,3% / 3  =</v>
      </c>
      <c r="J177" s="577" t="str">
        <f t="shared" si="128"/>
        <v>= ,00 * 17,3% / 3  =</v>
      </c>
      <c r="K177" s="577" t="str">
        <f t="shared" si="128"/>
        <v>= ,00 * 17,3% / 3  =</v>
      </c>
      <c r="L177" s="577" t="str">
        <f t="shared" si="128"/>
        <v>= ,00 * 17,3% / 3  =</v>
      </c>
      <c r="M177" s="577" t="str">
        <f t="shared" si="128"/>
        <v>= ,00 * 17,3% / 3  =</v>
      </c>
      <c r="N177" s="577" t="str">
        <f t="shared" si="128"/>
        <v>= ,00 * 17,3% / 3  =</v>
      </c>
      <c r="O177" s="577" t="str">
        <f t="shared" si="128"/>
        <v>= ,00 * 17,3% / 3  =</v>
      </c>
      <c r="P177" s="577" t="str">
        <f t="shared" si="128"/>
        <v>= ,00 * 17,3% / 3  =</v>
      </c>
      <c r="Q177" s="577" t="str">
        <f t="shared" si="128"/>
        <v>= ,00 * 17,3% / 3  =</v>
      </c>
      <c r="R177" s="577" t="str">
        <f t="shared" si="128"/>
        <v>= ,00 * 17,3% / 3  =</v>
      </c>
      <c r="S177" s="578"/>
      <c r="T177" s="564"/>
      <c r="U177" s="127"/>
      <c r="V177" s="127"/>
      <c r="W177" s="127"/>
      <c r="X177" s="127"/>
      <c r="Y177" s="127"/>
    </row>
    <row r="178" spans="1:25" s="565" customFormat="1">
      <c r="A178" s="575"/>
      <c r="B178" s="576">
        <f t="shared" si="94"/>
        <v>34</v>
      </c>
      <c r="C178" s="576"/>
      <c r="D178" s="576">
        <f t="shared" si="124"/>
        <v>78</v>
      </c>
      <c r="E178" s="576"/>
      <c r="F178" s="581" t="s">
        <v>204</v>
      </c>
      <c r="G178" s="577" t="str">
        <f t="shared" ref="G178:R178" si="129">"= "&amp;TEXT(G50,"#.###,00")&amp;" * 17,3% / 3  ="</f>
        <v>= ,00 * 17,3% / 3  =</v>
      </c>
      <c r="H178" s="577" t="str">
        <f t="shared" si="129"/>
        <v>= ,00 * 17,3% / 3  =</v>
      </c>
      <c r="I178" s="577" t="str">
        <f t="shared" si="129"/>
        <v>= ,00 * 17,3% / 3  =</v>
      </c>
      <c r="J178" s="577" t="str">
        <f t="shared" si="129"/>
        <v>= ,00 * 17,3% / 3  =</v>
      </c>
      <c r="K178" s="577" t="str">
        <f t="shared" si="129"/>
        <v>= ,00 * 17,3% / 3  =</v>
      </c>
      <c r="L178" s="577" t="str">
        <f t="shared" si="129"/>
        <v>= ,00 * 17,3% / 3  =</v>
      </c>
      <c r="M178" s="577" t="str">
        <f t="shared" si="129"/>
        <v>= ,00 * 17,3% / 3  =</v>
      </c>
      <c r="N178" s="577" t="str">
        <f t="shared" si="129"/>
        <v>= ,00 * 17,3% / 3  =</v>
      </c>
      <c r="O178" s="577" t="str">
        <f t="shared" si="129"/>
        <v>= ,00 * 17,3% / 3  =</v>
      </c>
      <c r="P178" s="577" t="str">
        <f t="shared" si="129"/>
        <v>= ,00 * 17,3% / 3  =</v>
      </c>
      <c r="Q178" s="577" t="str">
        <f t="shared" si="129"/>
        <v>= ,00 * 17,3% / 3  =</v>
      </c>
      <c r="R178" s="577" t="str">
        <f t="shared" si="129"/>
        <v>= ,00 * 17,3% / 3  =</v>
      </c>
      <c r="S178" s="578"/>
      <c r="T178" s="564"/>
      <c r="U178" s="127"/>
      <c r="V178" s="127"/>
      <c r="W178" s="127"/>
      <c r="X178" s="127"/>
      <c r="Y178" s="127"/>
    </row>
    <row r="179" spans="1:25" s="565" customFormat="1">
      <c r="A179" s="575"/>
      <c r="B179" s="576">
        <f t="shared" si="94"/>
        <v>35</v>
      </c>
      <c r="C179" s="576"/>
      <c r="D179" s="576">
        <f t="shared" si="124"/>
        <v>79</v>
      </c>
      <c r="E179" s="576"/>
      <c r="F179" s="581" t="s">
        <v>64</v>
      </c>
      <c r="G179" s="577" t="str">
        <f t="shared" ref="G179:R179" si="130">"= "&amp;TEXT(G51,"#.###,00")&amp;" * 17,3% / 3  ="</f>
        <v>= ,00 * 17,3% / 3  =</v>
      </c>
      <c r="H179" s="577" t="str">
        <f t="shared" si="130"/>
        <v>= ,00 * 17,3% / 3  =</v>
      </c>
      <c r="I179" s="577" t="str">
        <f t="shared" si="130"/>
        <v>= ,00 * 17,3% / 3  =</v>
      </c>
      <c r="J179" s="577" t="str">
        <f t="shared" si="130"/>
        <v>= ,00 * 17,3% / 3  =</v>
      </c>
      <c r="K179" s="577" t="str">
        <f t="shared" si="130"/>
        <v>= ,00 * 17,3% / 3  =</v>
      </c>
      <c r="L179" s="577" t="str">
        <f t="shared" si="130"/>
        <v>= ,00 * 17,3% / 3  =</v>
      </c>
      <c r="M179" s="577" t="str">
        <f t="shared" si="130"/>
        <v>= ,00 * 17,3% / 3  =</v>
      </c>
      <c r="N179" s="577" t="str">
        <f t="shared" si="130"/>
        <v>= ,00 * 17,3% / 3  =</v>
      </c>
      <c r="O179" s="577" t="str">
        <f t="shared" si="130"/>
        <v>= ,00 * 17,3% / 3  =</v>
      </c>
      <c r="P179" s="577" t="str">
        <f t="shared" si="130"/>
        <v>= ,00 * 17,3% / 3  =</v>
      </c>
      <c r="Q179" s="577" t="str">
        <f t="shared" si="130"/>
        <v>= ,00 * 17,3% / 3  =</v>
      </c>
      <c r="R179" s="577" t="str">
        <f t="shared" si="130"/>
        <v>= ,00 * 17,3% / 3  =</v>
      </c>
      <c r="S179" s="578"/>
      <c r="T179" s="564"/>
      <c r="U179" s="127"/>
      <c r="V179" s="127"/>
      <c r="W179" s="127"/>
      <c r="X179" s="127"/>
      <c r="Y179" s="127"/>
    </row>
    <row r="180" spans="1:25" s="565" customFormat="1">
      <c r="A180" s="575"/>
      <c r="B180" s="576">
        <f t="shared" si="94"/>
        <v>36</v>
      </c>
      <c r="C180" s="576"/>
      <c r="D180" s="576">
        <f t="shared" si="124"/>
        <v>80</v>
      </c>
      <c r="E180" s="576"/>
      <c r="F180" s="581" t="s">
        <v>65</v>
      </c>
      <c r="G180" s="577" t="str">
        <f t="shared" ref="G180:R180" si="131">"= "&amp;TEXT(G52,"#.###,00")&amp;" * 17,3% / 3  ="</f>
        <v>= ,00 * 17,3% / 3  =</v>
      </c>
      <c r="H180" s="577" t="str">
        <f t="shared" si="131"/>
        <v>= ,00 * 17,3% / 3  =</v>
      </c>
      <c r="I180" s="577" t="str">
        <f t="shared" si="131"/>
        <v>= ,00 * 17,3% / 3  =</v>
      </c>
      <c r="J180" s="577" t="str">
        <f t="shared" si="131"/>
        <v>= ,00 * 17,3% / 3  =</v>
      </c>
      <c r="K180" s="577" t="str">
        <f t="shared" si="131"/>
        <v>= ,00 * 17,3% / 3  =</v>
      </c>
      <c r="L180" s="577" t="str">
        <f t="shared" si="131"/>
        <v>= ,00 * 17,3% / 3  =</v>
      </c>
      <c r="M180" s="577" t="str">
        <f t="shared" si="131"/>
        <v>= ,00 * 17,3% / 3  =</v>
      </c>
      <c r="N180" s="577" t="str">
        <f t="shared" si="131"/>
        <v>= ,00 * 17,3% / 3  =</v>
      </c>
      <c r="O180" s="577" t="str">
        <f t="shared" si="131"/>
        <v>= ,00 * 17,3% / 3  =</v>
      </c>
      <c r="P180" s="577" t="str">
        <f t="shared" si="131"/>
        <v>= ,00 * 17,3% / 3  =</v>
      </c>
      <c r="Q180" s="577" t="str">
        <f t="shared" si="131"/>
        <v>= ,00 * 17,3% / 3  =</v>
      </c>
      <c r="R180" s="577" t="str">
        <f t="shared" si="131"/>
        <v>= ,00 * 17,3% / 3  =</v>
      </c>
      <c r="S180" s="578"/>
      <c r="T180" s="564"/>
      <c r="U180" s="127"/>
      <c r="V180" s="127"/>
      <c r="W180" s="127"/>
      <c r="X180" s="127"/>
      <c r="Y180" s="127"/>
    </row>
    <row r="181" spans="1:25" s="565" customFormat="1">
      <c r="A181" s="575"/>
      <c r="B181" s="576">
        <f t="shared" si="94"/>
        <v>37</v>
      </c>
      <c r="C181" s="576"/>
      <c r="D181" s="576">
        <f t="shared" si="124"/>
        <v>81</v>
      </c>
      <c r="E181" s="576"/>
      <c r="F181" s="581" t="s">
        <v>66</v>
      </c>
      <c r="G181" s="577" t="str">
        <f t="shared" ref="G181:R181" si="132">"= "&amp;TEXT(G53,"#.###,00")&amp;" * 17,3% / 3  ="</f>
        <v>= ,00 * 17,3% / 3  =</v>
      </c>
      <c r="H181" s="577" t="str">
        <f t="shared" si="132"/>
        <v>= ,00 * 17,3% / 3  =</v>
      </c>
      <c r="I181" s="577" t="str">
        <f t="shared" si="132"/>
        <v>= ,00 * 17,3% / 3  =</v>
      </c>
      <c r="J181" s="577" t="str">
        <f t="shared" si="132"/>
        <v>= ,00 * 17,3% / 3  =</v>
      </c>
      <c r="K181" s="577" t="str">
        <f t="shared" si="132"/>
        <v>= ,00 * 17,3% / 3  =</v>
      </c>
      <c r="L181" s="577" t="str">
        <f t="shared" si="132"/>
        <v>= ,00 * 17,3% / 3  =</v>
      </c>
      <c r="M181" s="577" t="str">
        <f t="shared" si="132"/>
        <v>= ,00 * 17,3% / 3  =</v>
      </c>
      <c r="N181" s="577" t="str">
        <f t="shared" si="132"/>
        <v>= ,00 * 17,3% / 3  =</v>
      </c>
      <c r="O181" s="577" t="str">
        <f t="shared" si="132"/>
        <v>= ,00 * 17,3% / 3  =</v>
      </c>
      <c r="P181" s="577" t="str">
        <f t="shared" si="132"/>
        <v>= ,00 * 17,3% / 3  =</v>
      </c>
      <c r="Q181" s="577" t="str">
        <f t="shared" si="132"/>
        <v>= ,00 * 17,3% / 3  =</v>
      </c>
      <c r="R181" s="577" t="str">
        <f t="shared" si="132"/>
        <v>= ,00 * 17,3% / 3  =</v>
      </c>
      <c r="S181" s="578"/>
      <c r="T181" s="564"/>
      <c r="U181" s="127"/>
      <c r="V181" s="127"/>
      <c r="W181" s="127"/>
      <c r="X181" s="127"/>
      <c r="Y181" s="127"/>
    </row>
    <row r="182" spans="1:25" s="565" customFormat="1">
      <c r="A182" s="575"/>
      <c r="B182" s="576">
        <f t="shared" si="94"/>
        <v>38</v>
      </c>
      <c r="C182" s="576"/>
      <c r="D182" s="576">
        <f t="shared" si="124"/>
        <v>82</v>
      </c>
      <c r="E182" s="576"/>
      <c r="F182" s="581" t="s">
        <v>67</v>
      </c>
      <c r="G182" s="577" t="str">
        <f t="shared" ref="G182:R182" si="133">"= "&amp;TEXT(G54,"#.###,00")&amp;" * 17,3% / 3  ="</f>
        <v>= ,00 * 17,3% / 3  =</v>
      </c>
      <c r="H182" s="577" t="str">
        <f t="shared" si="133"/>
        <v>= ,00 * 17,3% / 3  =</v>
      </c>
      <c r="I182" s="577" t="str">
        <f t="shared" si="133"/>
        <v>= ,00 * 17,3% / 3  =</v>
      </c>
      <c r="J182" s="577" t="str">
        <f t="shared" si="133"/>
        <v>= ,00 * 17,3% / 3  =</v>
      </c>
      <c r="K182" s="577" t="str">
        <f t="shared" si="133"/>
        <v>= ,00 * 17,3% / 3  =</v>
      </c>
      <c r="L182" s="577" t="str">
        <f t="shared" si="133"/>
        <v>= ,00 * 17,3% / 3  =</v>
      </c>
      <c r="M182" s="577" t="str">
        <f t="shared" si="133"/>
        <v>= ,00 * 17,3% / 3  =</v>
      </c>
      <c r="N182" s="577" t="str">
        <f t="shared" si="133"/>
        <v>= ,00 * 17,3% / 3  =</v>
      </c>
      <c r="O182" s="577" t="str">
        <f t="shared" si="133"/>
        <v>= ,00 * 17,3% / 3  =</v>
      </c>
      <c r="P182" s="577" t="str">
        <f t="shared" si="133"/>
        <v>= ,00 * 17,3% / 3  =</v>
      </c>
      <c r="Q182" s="577" t="str">
        <f t="shared" si="133"/>
        <v>= ,00 * 17,3% / 3  =</v>
      </c>
      <c r="R182" s="577" t="str">
        <f t="shared" si="133"/>
        <v>= ,00 * 17,3% / 3  =</v>
      </c>
      <c r="S182" s="578"/>
      <c r="T182" s="564"/>
      <c r="U182" s="127"/>
      <c r="V182" s="127"/>
      <c r="W182" s="127"/>
      <c r="X182" s="127"/>
      <c r="Y182" s="127"/>
    </row>
    <row r="183" spans="1:25" s="565" customFormat="1">
      <c r="A183" s="575"/>
      <c r="B183" s="576">
        <f t="shared" si="94"/>
        <v>39</v>
      </c>
      <c r="C183" s="576"/>
      <c r="D183" s="576">
        <f t="shared" si="124"/>
        <v>83</v>
      </c>
      <c r="E183" s="576"/>
      <c r="F183" s="581" t="s">
        <v>368</v>
      </c>
      <c r="G183" s="577" t="str">
        <f t="shared" ref="G183:R183" si="134">"= "&amp;TEXT(G55,"#.###,00")&amp;" * 17,3% /3  ="</f>
        <v>= ,00 * 17,3% /3  =</v>
      </c>
      <c r="H183" s="577" t="str">
        <f t="shared" si="134"/>
        <v>= ,00 * 17,3% /3  =</v>
      </c>
      <c r="I183" s="577" t="str">
        <f t="shared" si="134"/>
        <v>= ,00 * 17,3% /3  =</v>
      </c>
      <c r="J183" s="577" t="str">
        <f t="shared" si="134"/>
        <v>= ,00 * 17,3% /3  =</v>
      </c>
      <c r="K183" s="577" t="str">
        <f t="shared" si="134"/>
        <v>= ,00 * 17,3% /3  =</v>
      </c>
      <c r="L183" s="577" t="str">
        <f t="shared" si="134"/>
        <v>= ,00 * 17,3% /3  =</v>
      </c>
      <c r="M183" s="577" t="str">
        <f t="shared" si="134"/>
        <v>= ,00 * 17,3% /3  =</v>
      </c>
      <c r="N183" s="577" t="str">
        <f t="shared" si="134"/>
        <v>= ,00 * 17,3% /3  =</v>
      </c>
      <c r="O183" s="577" t="str">
        <f t="shared" si="134"/>
        <v>= ,00 * 17,3% /3  =</v>
      </c>
      <c r="P183" s="577" t="str">
        <f t="shared" si="134"/>
        <v>= ,00 * 17,3% /3  =</v>
      </c>
      <c r="Q183" s="577" t="str">
        <f t="shared" si="134"/>
        <v>= ,00 * 17,3% /3  =</v>
      </c>
      <c r="R183" s="577" t="str">
        <f t="shared" si="134"/>
        <v>= ,00 * 17,3% /3  =</v>
      </c>
      <c r="S183" s="578"/>
      <c r="T183" s="564"/>
      <c r="U183" s="127"/>
      <c r="V183" s="127"/>
      <c r="W183" s="127"/>
      <c r="X183" s="127"/>
      <c r="Y183" s="127"/>
    </row>
    <row r="184" spans="1:25" s="565" customFormat="1">
      <c r="A184" s="575"/>
      <c r="B184" s="576">
        <f t="shared" si="94"/>
        <v>40</v>
      </c>
      <c r="C184" s="576"/>
      <c r="D184" s="576">
        <f t="shared" si="124"/>
        <v>84</v>
      </c>
      <c r="E184" s="576"/>
      <c r="F184" s="581" t="s">
        <v>20</v>
      </c>
      <c r="G184" s="577" t="str">
        <f t="shared" ref="G184:R184" si="135">"= "&amp;TEXT(G56,"#.###,00")&amp;" * 17,3% / 3  ="</f>
        <v>= ,00 * 17,3% / 3  =</v>
      </c>
      <c r="H184" s="577" t="str">
        <f t="shared" si="135"/>
        <v>= ,00 * 17,3% / 3  =</v>
      </c>
      <c r="I184" s="577" t="str">
        <f t="shared" si="135"/>
        <v>= ,00 * 17,3% / 3  =</v>
      </c>
      <c r="J184" s="577" t="str">
        <f t="shared" si="135"/>
        <v>= ,00 * 17,3% / 3  =</v>
      </c>
      <c r="K184" s="577" t="str">
        <f t="shared" si="135"/>
        <v>= ,00 * 17,3% / 3  =</v>
      </c>
      <c r="L184" s="577" t="str">
        <f t="shared" si="135"/>
        <v>= ,00 * 17,3% / 3  =</v>
      </c>
      <c r="M184" s="577" t="str">
        <f t="shared" si="135"/>
        <v>= ,00 * 17,3% / 3  =</v>
      </c>
      <c r="N184" s="577" t="str">
        <f t="shared" si="135"/>
        <v>= ,00 * 17,3% / 3  =</v>
      </c>
      <c r="O184" s="577" t="str">
        <f t="shared" si="135"/>
        <v>= ,00 * 17,3% / 3  =</v>
      </c>
      <c r="P184" s="577" t="str">
        <f t="shared" si="135"/>
        <v>= ,00 * 17,3% / 3  =</v>
      </c>
      <c r="Q184" s="577" t="str">
        <f t="shared" si="135"/>
        <v>= ,00 * 17,3% / 3  =</v>
      </c>
      <c r="R184" s="577" t="str">
        <f t="shared" si="135"/>
        <v>= ,00 * 17,3% / 3  =</v>
      </c>
      <c r="S184" s="578"/>
      <c r="T184" s="564"/>
      <c r="U184" s="127"/>
      <c r="V184" s="127"/>
      <c r="W184" s="127"/>
      <c r="X184" s="127"/>
      <c r="Y184" s="127"/>
    </row>
    <row r="185" spans="1:25" s="565" customFormat="1">
      <c r="A185" s="575"/>
      <c r="B185" s="576">
        <f t="shared" si="94"/>
        <v>41</v>
      </c>
      <c r="C185" s="576"/>
      <c r="D185" s="576">
        <f t="shared" si="124"/>
        <v>85</v>
      </c>
      <c r="E185" s="576"/>
      <c r="F185" s="581" t="s">
        <v>377</v>
      </c>
      <c r="G185" s="577" t="str">
        <f t="shared" ref="G185:R185" si="136">"= "&amp;TEXT(G58,"#.###,00")&amp;" * 17,3% / 3  ="</f>
        <v>= ,00 * 17,3% / 3  =</v>
      </c>
      <c r="H185" s="577" t="str">
        <f t="shared" si="136"/>
        <v>= ,00 * 17,3% / 3  =</v>
      </c>
      <c r="I185" s="577" t="str">
        <f t="shared" si="136"/>
        <v>= ,00 * 17,3% / 3  =</v>
      </c>
      <c r="J185" s="577" t="str">
        <f t="shared" si="136"/>
        <v>= ,00 * 17,3% / 3  =</v>
      </c>
      <c r="K185" s="577" t="str">
        <f t="shared" si="136"/>
        <v>= ,00 * 17,3% / 3  =</v>
      </c>
      <c r="L185" s="577" t="str">
        <f t="shared" si="136"/>
        <v>= ,00 * 17,3% / 3  =</v>
      </c>
      <c r="M185" s="577" t="str">
        <f t="shared" si="136"/>
        <v>= ,00 * 17,3% / 3  =</v>
      </c>
      <c r="N185" s="577" t="str">
        <f t="shared" si="136"/>
        <v>= ,00 * 17,3% / 3  =</v>
      </c>
      <c r="O185" s="577" t="str">
        <f t="shared" si="136"/>
        <v>= ,00 * 17,3% / 3  =</v>
      </c>
      <c r="P185" s="577" t="str">
        <f t="shared" si="136"/>
        <v>= ,00 * 17,3% / 3  =</v>
      </c>
      <c r="Q185" s="577" t="str">
        <f t="shared" si="136"/>
        <v>= ,00 * 17,3% / 3  =</v>
      </c>
      <c r="R185" s="577" t="str">
        <f t="shared" si="136"/>
        <v>= ,00 * 17,3% / 3  =</v>
      </c>
      <c r="S185" s="578"/>
      <c r="T185" s="564"/>
      <c r="U185" s="127"/>
      <c r="V185" s="127"/>
      <c r="W185" s="127"/>
      <c r="X185" s="127"/>
      <c r="Y185" s="127"/>
    </row>
    <row r="186" spans="1:25" s="565" customFormat="1">
      <c r="A186" s="575"/>
      <c r="B186" s="576">
        <f t="shared" si="94"/>
        <v>42</v>
      </c>
      <c r="C186" s="576"/>
      <c r="D186" s="576">
        <f t="shared" si="124"/>
        <v>86</v>
      </c>
      <c r="E186" s="576"/>
      <c r="F186" s="581" t="s">
        <v>119</v>
      </c>
      <c r="G186" s="582" t="str">
        <f t="shared" ref="G186:R186" si="137">"= (("&amp;TEXT(SUM(G45:G56)-G46+G58,"#.###,00")&amp;" - "&amp;TEXT(ROUND(ROUND(VLOOKUP(IF(LEFT(G4)="B",33,42),Skalalontabel12,7,0)*G6,0)/12,2)*G8,"#.###,00")&amp;" * "&amp;TEXT(G8,"0,0000")&amp;" * "&amp;TEXT(G3,"#0/#0")&amp;")"&amp;" * "&amp;IF(G19="JA","(18 - 17,3)","18")&amp;"% / 3 "&amp;IF(G19="NEJ","- "&amp;G76+G85,"")&amp;"="</f>
        <v>= ((,00 - ,00 * 0,0000 * 1/1) * 18% / 3 =</v>
      </c>
      <c r="H186" s="582" t="str">
        <f t="shared" si="137"/>
        <v>= ((,00 - ,00 * 0,0000 * 1/1) * 18% / 3 =</v>
      </c>
      <c r="I186" s="582" t="str">
        <f t="shared" si="137"/>
        <v>= ((,00 - ,00 * 0,0000 * 1/1) * 18% / 3 =</v>
      </c>
      <c r="J186" s="582" t="str">
        <f t="shared" si="137"/>
        <v>= ((,00 - ,00 * 0,0000 * 1/1) * 18% / 3 =</v>
      </c>
      <c r="K186" s="582" t="str">
        <f t="shared" si="137"/>
        <v>= ((,00 - ,00 * 0,0000 * 1/1) * 18% / 3 =</v>
      </c>
      <c r="L186" s="582" t="str">
        <f t="shared" si="137"/>
        <v>= ((,00 - ,00 * 0,0000 * 1/1) * 18% / 3 =</v>
      </c>
      <c r="M186" s="582" t="str">
        <f t="shared" si="137"/>
        <v>= ((,00 - ,00 * 0,0000 * 1/1) * 18% / 3 =</v>
      </c>
      <c r="N186" s="582" t="str">
        <f t="shared" si="137"/>
        <v>= ((,00 - ,00 * 0,0000 * 1/1) * 18% / 3 =</v>
      </c>
      <c r="O186" s="582" t="str">
        <f t="shared" si="137"/>
        <v>= ((,00 - ,00 * 0,0000 * 1/1) * 18% / 3 =</v>
      </c>
      <c r="P186" s="582" t="str">
        <f t="shared" si="137"/>
        <v>= ((,00 - ,00 * 0,0000 * 1/1) * 18% / 3 =</v>
      </c>
      <c r="Q186" s="582" t="str">
        <f t="shared" si="137"/>
        <v>= ((,00 - ,00 * 0,0000 * 1/1) * 18% / 3 =</v>
      </c>
      <c r="R186" s="582" t="str">
        <f t="shared" si="137"/>
        <v>= ((,00 - ,00 * 0,0000 * 1/1) * 18% / 3 =</v>
      </c>
      <c r="S186" s="578"/>
      <c r="T186" s="564"/>
      <c r="U186" s="127"/>
      <c r="V186" s="127"/>
      <c r="W186" s="127"/>
      <c r="X186" s="127"/>
      <c r="Y186" s="127"/>
    </row>
    <row r="187" spans="1:25" s="565" customFormat="1">
      <c r="A187" s="575"/>
      <c r="B187" s="576">
        <f t="shared" si="94"/>
        <v>43</v>
      </c>
      <c r="C187" s="576"/>
      <c r="D187" s="576">
        <f t="shared" si="124"/>
        <v>87</v>
      </c>
      <c r="E187" s="576"/>
      <c r="F187" s="581" t="s">
        <v>263</v>
      </c>
      <c r="G187" s="577" t="str">
        <f t="shared" ref="G187:R187" si="138">"= "&amp;TEXT(G62,"#.###,00")&amp;" * 17,3% / 3  ="</f>
        <v>= ,00 * 17,3% / 3  =</v>
      </c>
      <c r="H187" s="577" t="str">
        <f t="shared" si="138"/>
        <v>= ,00 * 17,3% / 3  =</v>
      </c>
      <c r="I187" s="577" t="str">
        <f t="shared" si="138"/>
        <v>= ,00 * 17,3% / 3  =</v>
      </c>
      <c r="J187" s="577" t="str">
        <f t="shared" si="138"/>
        <v>= ,00 * 17,3% / 3  =</v>
      </c>
      <c r="K187" s="577" t="str">
        <f t="shared" si="138"/>
        <v>= ,00 * 17,3% / 3  =</v>
      </c>
      <c r="L187" s="577" t="str">
        <f t="shared" si="138"/>
        <v>= ,00 * 17,3% / 3  =</v>
      </c>
      <c r="M187" s="577" t="str">
        <f t="shared" si="138"/>
        <v>= ,00 * 17,3% / 3  =</v>
      </c>
      <c r="N187" s="577" t="str">
        <f t="shared" si="138"/>
        <v>= ,00 * 17,3% / 3  =</v>
      </c>
      <c r="O187" s="577" t="str">
        <f t="shared" si="138"/>
        <v>= ,00 * 17,3% / 3  =</v>
      </c>
      <c r="P187" s="577" t="str">
        <f t="shared" si="138"/>
        <v>= ,00 * 17,3% / 3  =</v>
      </c>
      <c r="Q187" s="577" t="str">
        <f t="shared" si="138"/>
        <v>= ,00 * 17,3% / 3  =</v>
      </c>
      <c r="R187" s="577" t="str">
        <f t="shared" si="138"/>
        <v>= ,00 * 17,3% / 3  =</v>
      </c>
      <c r="S187" s="578"/>
      <c r="T187" s="564"/>
      <c r="U187" s="127"/>
      <c r="V187" s="127"/>
      <c r="W187" s="127"/>
      <c r="X187" s="127"/>
      <c r="Y187" s="127"/>
    </row>
    <row r="188" spans="1:25" s="565" customFormat="1">
      <c r="A188" s="575"/>
      <c r="B188" s="576">
        <f t="shared" si="94"/>
        <v>44</v>
      </c>
      <c r="C188" s="576"/>
      <c r="D188" s="576">
        <f t="shared" si="124"/>
        <v>88</v>
      </c>
      <c r="E188" s="576"/>
      <c r="F188" s="583" t="s">
        <v>43</v>
      </c>
      <c r="G188" s="577" t="str">
        <f t="shared" ref="G188:R188" si="139">"= "&amp;TEXT(G63,"#.###,00")&amp;" * 17,3% / 3  ="</f>
        <v>= ,00 * 17,3% / 3  =</v>
      </c>
      <c r="H188" s="577" t="str">
        <f t="shared" si="139"/>
        <v>= ,00 * 17,3% / 3  =</v>
      </c>
      <c r="I188" s="577" t="str">
        <f t="shared" si="139"/>
        <v>= ,00 * 17,3% / 3  =</v>
      </c>
      <c r="J188" s="577" t="str">
        <f t="shared" si="139"/>
        <v>= ,00 * 17,3% / 3  =</v>
      </c>
      <c r="K188" s="577" t="str">
        <f t="shared" si="139"/>
        <v>= ,00 * 17,3% / 3  =</v>
      </c>
      <c r="L188" s="577" t="str">
        <f t="shared" si="139"/>
        <v>= ,00 * 17,3% / 3  =</v>
      </c>
      <c r="M188" s="577" t="str">
        <f t="shared" si="139"/>
        <v>= ,00 * 17,3% / 3  =</v>
      </c>
      <c r="N188" s="577" t="str">
        <f t="shared" si="139"/>
        <v>= ,00 * 17,3% / 3  =</v>
      </c>
      <c r="O188" s="577" t="str">
        <f t="shared" si="139"/>
        <v>= ,00 * 17,3% / 3  =</v>
      </c>
      <c r="P188" s="577" t="str">
        <f t="shared" si="139"/>
        <v>= ,00 * 17,3% / 3  =</v>
      </c>
      <c r="Q188" s="577" t="str">
        <f t="shared" si="139"/>
        <v>= ,00 * 17,3% / 3  =</v>
      </c>
      <c r="R188" s="577" t="str">
        <f t="shared" si="139"/>
        <v>= ,00 * 17,3% / 3  =</v>
      </c>
      <c r="S188" s="578"/>
      <c r="T188" s="564"/>
      <c r="U188" s="127"/>
      <c r="V188" s="127"/>
      <c r="W188" s="127"/>
      <c r="X188" s="127"/>
      <c r="Y188" s="127"/>
    </row>
    <row r="189" spans="1:25" s="565" customFormat="1" ht="13" thickBot="1">
      <c r="A189" s="575"/>
      <c r="B189" s="576">
        <f t="shared" si="94"/>
        <v>45</v>
      </c>
      <c r="C189" s="576"/>
      <c r="D189" s="576">
        <f t="shared" si="124"/>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4"/>
        <v>46</v>
      </c>
      <c r="C190" s="576"/>
      <c r="D190" s="576">
        <f t="shared" si="124"/>
        <v>90</v>
      </c>
      <c r="E190" s="576"/>
      <c r="F190" s="587" t="s">
        <v>105</v>
      </c>
      <c r="G190" s="577" t="str">
        <f>"1/3 af den samlede indbetaling (lin. 58) iflg. A-satser"</f>
        <v>1/3 af den samlede indbetaling (lin. 58) iflg. A-satser</v>
      </c>
      <c r="H190" s="577" t="str">
        <f t="shared" ref="H190:R190" si="140">"1/3 af den samlede indbetaling (lin. 58) iflg. A-satser"</f>
        <v>1/3 af den samlede indbetaling (lin. 58) iflg. A-satser</v>
      </c>
      <c r="I190" s="577" t="str">
        <f t="shared" si="140"/>
        <v>1/3 af den samlede indbetaling (lin. 58) iflg. A-satser</v>
      </c>
      <c r="J190" s="577" t="str">
        <f t="shared" si="140"/>
        <v>1/3 af den samlede indbetaling (lin. 58) iflg. A-satser</v>
      </c>
      <c r="K190" s="577" t="str">
        <f t="shared" si="140"/>
        <v>1/3 af den samlede indbetaling (lin. 58) iflg. A-satser</v>
      </c>
      <c r="L190" s="577" t="str">
        <f t="shared" si="140"/>
        <v>1/3 af den samlede indbetaling (lin. 58) iflg. A-satser</v>
      </c>
      <c r="M190" s="577" t="str">
        <f t="shared" si="140"/>
        <v>1/3 af den samlede indbetaling (lin. 58) iflg. A-satser</v>
      </c>
      <c r="N190" s="577" t="str">
        <f t="shared" si="140"/>
        <v>1/3 af den samlede indbetaling (lin. 58) iflg. A-satser</v>
      </c>
      <c r="O190" s="577" t="str">
        <f t="shared" si="140"/>
        <v>1/3 af den samlede indbetaling (lin. 58) iflg. A-satser</v>
      </c>
      <c r="P190" s="577" t="str">
        <f t="shared" si="140"/>
        <v>1/3 af den samlede indbetaling (lin. 58) iflg. A-satser</v>
      </c>
      <c r="Q190" s="577" t="str">
        <f t="shared" si="140"/>
        <v>1/3 af den samlede indbetaling (lin. 58) iflg. A-satser</v>
      </c>
      <c r="R190" s="577" t="str">
        <f t="shared" si="140"/>
        <v>1/3 af den samlede indbetaling (lin. 58) iflg. A-satser</v>
      </c>
      <c r="S190" s="578"/>
      <c r="T190" s="564"/>
      <c r="U190" s="127"/>
      <c r="V190" s="127"/>
      <c r="W190" s="127"/>
      <c r="X190" s="127"/>
      <c r="Y190" s="127"/>
    </row>
    <row r="191" spans="1:25" s="565" customFormat="1">
      <c r="A191" s="575"/>
      <c r="B191" s="576">
        <f t="shared" si="94"/>
        <v>47</v>
      </c>
      <c r="C191" s="576"/>
      <c r="D191" s="576">
        <f t="shared" si="124"/>
        <v>91</v>
      </c>
      <c r="E191" s="576"/>
      <c r="F191" s="587" t="s">
        <v>100</v>
      </c>
      <c r="G191" s="577" t="str">
        <f>"= SUM(lin. 1 - 19) + sum(lin. 24 - 28) - lin. 46 ="</f>
        <v>= SUM(lin. 1 - 19) + sum(lin. 24 - 28) - lin. 46 =</v>
      </c>
      <c r="H191" s="577" t="str">
        <f t="shared" ref="H191:R191" si="141">"= SUM(lin. 1 - 19) + sum(lin. 24 - 28) - lin. 46 ="</f>
        <v>= SUM(lin. 1 - 19) + sum(lin. 24 - 28) - lin. 46 =</v>
      </c>
      <c r="I191" s="577" t="str">
        <f t="shared" si="141"/>
        <v>= SUM(lin. 1 - 19) + sum(lin. 24 - 28) - lin. 46 =</v>
      </c>
      <c r="J191" s="577" t="str">
        <f t="shared" si="141"/>
        <v>= SUM(lin. 1 - 19) + sum(lin. 24 - 28) - lin. 46 =</v>
      </c>
      <c r="K191" s="577" t="str">
        <f t="shared" si="141"/>
        <v>= SUM(lin. 1 - 19) + sum(lin. 24 - 28) - lin. 46 =</v>
      </c>
      <c r="L191" s="577" t="str">
        <f t="shared" si="141"/>
        <v>= SUM(lin. 1 - 19) + sum(lin. 24 - 28) - lin. 46 =</v>
      </c>
      <c r="M191" s="577" t="str">
        <f t="shared" si="141"/>
        <v>= SUM(lin. 1 - 19) + sum(lin. 24 - 28) - lin. 46 =</v>
      </c>
      <c r="N191" s="577" t="str">
        <f t="shared" si="141"/>
        <v>= SUM(lin. 1 - 19) + sum(lin. 24 - 28) - lin. 46 =</v>
      </c>
      <c r="O191" s="577" t="str">
        <f t="shared" si="141"/>
        <v>= SUM(lin. 1 - 19) + sum(lin. 24 - 28) - lin. 46 =</v>
      </c>
      <c r="P191" s="577" t="str">
        <f t="shared" si="141"/>
        <v>= SUM(lin. 1 - 19) + sum(lin. 24 - 28) - lin. 46 =</v>
      </c>
      <c r="Q191" s="577" t="str">
        <f t="shared" si="141"/>
        <v>= SUM(lin. 1 - 19) + sum(lin. 24 - 28) - lin. 46 =</v>
      </c>
      <c r="R191" s="577" t="str">
        <f t="shared" si="141"/>
        <v>= SUM(lin. 1 - 19) + sum(lin. 24 - 28) - lin. 46 =</v>
      </c>
      <c r="S191" s="578"/>
      <c r="T191" s="564"/>
      <c r="U191" s="127"/>
      <c r="V191" s="127"/>
      <c r="W191" s="127"/>
      <c r="X191" s="127"/>
      <c r="Y191" s="127"/>
    </row>
    <row r="192" spans="1:25" s="565" customFormat="1">
      <c r="A192" s="575"/>
      <c r="B192" s="576">
        <f t="shared" si="94"/>
        <v>48</v>
      </c>
      <c r="C192" s="576"/>
      <c r="D192" s="576">
        <f t="shared" si="124"/>
        <v>92</v>
      </c>
      <c r="E192" s="576"/>
      <c r="F192" s="588" t="s">
        <v>101</v>
      </c>
      <c r="G192" s="577" t="str">
        <f>"= "&amp;TEXT(G92,"#.###,00")&amp;" * 8% (afrundet) ="</f>
        <v>= ,00 * 8% (afrundet) =</v>
      </c>
      <c r="H192" s="577" t="str">
        <f t="shared" ref="H192:R192" si="142">"= "&amp;TEXT(H92,"#.###,00")&amp;" * 8% (afrundet) ="</f>
        <v>= ,00 * 8% (afrundet) =</v>
      </c>
      <c r="I192" s="577" t="str">
        <f t="shared" si="142"/>
        <v>= ,00 * 8% (afrundet) =</v>
      </c>
      <c r="J192" s="577" t="str">
        <f t="shared" si="142"/>
        <v>= ,00 * 8% (afrundet) =</v>
      </c>
      <c r="K192" s="577" t="str">
        <f t="shared" si="142"/>
        <v>= ,00 * 8% (afrundet) =</v>
      </c>
      <c r="L192" s="577" t="str">
        <f t="shared" si="142"/>
        <v>= ,00 * 8% (afrundet) =</v>
      </c>
      <c r="M192" s="577" t="str">
        <f t="shared" si="142"/>
        <v>= ,00 * 8% (afrundet) =</v>
      </c>
      <c r="N192" s="577" t="str">
        <f t="shared" si="142"/>
        <v>= ,00 * 8% (afrundet) =</v>
      </c>
      <c r="O192" s="577" t="str">
        <f t="shared" si="142"/>
        <v>= ,00 * 8% (afrundet) =</v>
      </c>
      <c r="P192" s="577" t="str">
        <f t="shared" si="142"/>
        <v>= ,00 * 8% (afrundet) =</v>
      </c>
      <c r="Q192" s="577" t="str">
        <f t="shared" si="142"/>
        <v>= ,00 * 8% (afrundet) =</v>
      </c>
      <c r="R192" s="577" t="str">
        <f t="shared" si="142"/>
        <v>= ,00 * 8% (afrundet) =</v>
      </c>
      <c r="S192" s="578"/>
      <c r="T192" s="564"/>
      <c r="U192" s="127"/>
      <c r="V192" s="127"/>
      <c r="W192" s="127"/>
      <c r="X192" s="127"/>
      <c r="Y192" s="127"/>
    </row>
    <row r="193" spans="1:25" s="565" customFormat="1">
      <c r="A193" s="575"/>
      <c r="B193" s="576">
        <f t="shared" si="94"/>
        <v>49</v>
      </c>
      <c r="C193" s="576"/>
      <c r="D193" s="576">
        <f t="shared" si="124"/>
        <v>93</v>
      </c>
      <c r="E193" s="576"/>
      <c r="F193" s="588" t="s">
        <v>102</v>
      </c>
      <c r="G193" s="577" t="str">
        <f>"= lin. 47 - lin. 48 ="</f>
        <v>= lin. 47 - lin. 48 =</v>
      </c>
      <c r="H193" s="577" t="str">
        <f t="shared" ref="H193:R193" si="143">"= lin. 47 - lin. 48 ="</f>
        <v>= lin. 47 - lin. 48 =</v>
      </c>
      <c r="I193" s="577" t="str">
        <f t="shared" si="143"/>
        <v>= lin. 47 - lin. 48 =</v>
      </c>
      <c r="J193" s="577" t="str">
        <f t="shared" si="143"/>
        <v>= lin. 47 - lin. 48 =</v>
      </c>
      <c r="K193" s="577" t="str">
        <f t="shared" si="143"/>
        <v>= lin. 47 - lin. 48 =</v>
      </c>
      <c r="L193" s="577" t="str">
        <f t="shared" si="143"/>
        <v>= lin. 47 - lin. 48 =</v>
      </c>
      <c r="M193" s="577" t="str">
        <f t="shared" si="143"/>
        <v>= lin. 47 - lin. 48 =</v>
      </c>
      <c r="N193" s="577" t="str">
        <f t="shared" si="143"/>
        <v>= lin. 47 - lin. 48 =</v>
      </c>
      <c r="O193" s="577" t="str">
        <f t="shared" si="143"/>
        <v>= lin. 47 - lin. 48 =</v>
      </c>
      <c r="P193" s="577" t="str">
        <f t="shared" si="143"/>
        <v>= lin. 47 - lin. 48 =</v>
      </c>
      <c r="Q193" s="577" t="str">
        <f t="shared" si="143"/>
        <v>= lin. 47 - lin. 48 =</v>
      </c>
      <c r="R193" s="577" t="str">
        <f t="shared" si="143"/>
        <v>= lin. 47 - lin. 48 =</v>
      </c>
      <c r="S193" s="578"/>
      <c r="T193" s="564"/>
      <c r="U193" s="127"/>
      <c r="V193" s="127"/>
      <c r="W193" s="127"/>
      <c r="X193" s="127"/>
      <c r="Y193" s="127"/>
    </row>
    <row r="194" spans="1:25" s="565" customFormat="1">
      <c r="A194" s="575"/>
      <c r="B194" s="576">
        <f t="shared" si="94"/>
        <v>50</v>
      </c>
      <c r="C194" s="576"/>
      <c r="D194" s="576">
        <f t="shared" si="124"/>
        <v>94</v>
      </c>
      <c r="E194" s="576"/>
      <c r="F194" s="588" t="s">
        <v>115</v>
      </c>
      <c r="G194" s="577" t="str">
        <f>"= lin. 49 - lin. 52 (nedrundet til hele 10er) ="</f>
        <v>= lin. 49 - lin. 52 (nedrundet til hele 10er) =</v>
      </c>
      <c r="H194" s="577" t="str">
        <f t="shared" ref="H194:R194" si="144">"= lin. 49 - lin. 52 (nedrundet til hele 10er) ="</f>
        <v>= lin. 49 - lin. 52 (nedrundet til hele 10er) =</v>
      </c>
      <c r="I194" s="577" t="str">
        <f t="shared" si="144"/>
        <v>= lin. 49 - lin. 52 (nedrundet til hele 10er) =</v>
      </c>
      <c r="J194" s="577" t="str">
        <f t="shared" si="144"/>
        <v>= lin. 49 - lin. 52 (nedrundet til hele 10er) =</v>
      </c>
      <c r="K194" s="577" t="str">
        <f t="shared" si="144"/>
        <v>= lin. 49 - lin. 52 (nedrundet til hele 10er) =</v>
      </c>
      <c r="L194" s="577" t="str">
        <f t="shared" si="144"/>
        <v>= lin. 49 - lin. 52 (nedrundet til hele 10er) =</v>
      </c>
      <c r="M194" s="577" t="str">
        <f t="shared" si="144"/>
        <v>= lin. 49 - lin. 52 (nedrundet til hele 10er) =</v>
      </c>
      <c r="N194" s="577" t="str">
        <f t="shared" si="144"/>
        <v>= lin. 49 - lin. 52 (nedrundet til hele 10er) =</v>
      </c>
      <c r="O194" s="577" t="str">
        <f t="shared" si="144"/>
        <v>= lin. 49 - lin. 52 (nedrundet til hele 10er) =</v>
      </c>
      <c r="P194" s="577" t="str">
        <f t="shared" si="144"/>
        <v>= lin. 49 - lin. 52 (nedrundet til hele 10er) =</v>
      </c>
      <c r="Q194" s="577" t="str">
        <f t="shared" si="144"/>
        <v>= lin. 49 - lin. 52 (nedrundet til hele 10er) =</v>
      </c>
      <c r="R194" s="577" t="str">
        <f t="shared" si="144"/>
        <v>= lin. 49 - lin. 52 (nedrundet til hele 10er) =</v>
      </c>
      <c r="S194" s="578"/>
      <c r="T194" s="564"/>
      <c r="U194" s="127"/>
      <c r="V194" s="127"/>
      <c r="W194" s="127"/>
      <c r="X194" s="127"/>
      <c r="Y194" s="127"/>
    </row>
    <row r="195" spans="1:25" s="565" customFormat="1">
      <c r="A195" s="575"/>
      <c r="B195" s="576">
        <f>B194+3</f>
        <v>53</v>
      </c>
      <c r="C195" s="576"/>
      <c r="D195" s="576">
        <f t="shared" si="124"/>
        <v>95</v>
      </c>
      <c r="E195" s="576"/>
      <c r="F195" s="588" t="s">
        <v>103</v>
      </c>
      <c r="G195" s="577" t="str">
        <f>"= lin. 50 * "&amp;G26&amp;"% (nedrundet) ="</f>
        <v>= lin. 50 * % (nedrundet) =</v>
      </c>
      <c r="H195" s="577" t="str">
        <f t="shared" ref="H195:R195" si="145">"= lin. 50 * "&amp;H26&amp;"% (nedrundet) ="</f>
        <v>= lin. 50 * 0% (nedrundet) =</v>
      </c>
      <c r="I195" s="577" t="str">
        <f t="shared" si="145"/>
        <v>= lin. 50 * 0% (nedrundet) =</v>
      </c>
      <c r="J195" s="577" t="str">
        <f t="shared" si="145"/>
        <v>= lin. 50 * 0% (nedrundet) =</v>
      </c>
      <c r="K195" s="577" t="str">
        <f t="shared" si="145"/>
        <v>= lin. 50 * 0% (nedrundet) =</v>
      </c>
      <c r="L195" s="577" t="str">
        <f t="shared" si="145"/>
        <v>= lin. 50 * 0% (nedrundet) =</v>
      </c>
      <c r="M195" s="577" t="str">
        <f t="shared" si="145"/>
        <v>= lin. 50 * 0% (nedrundet) =</v>
      </c>
      <c r="N195" s="577" t="str">
        <f t="shared" si="145"/>
        <v>= lin. 50 * 0% (nedrundet) =</v>
      </c>
      <c r="O195" s="577" t="str">
        <f t="shared" si="145"/>
        <v>= lin. 50 * 0% (nedrundet) =</v>
      </c>
      <c r="P195" s="577" t="str">
        <f t="shared" si="145"/>
        <v>= lin. 50 * 0% (nedrundet) =</v>
      </c>
      <c r="Q195" s="577" t="str">
        <f t="shared" si="145"/>
        <v>= lin. 50 * 0% (nedrundet) =</v>
      </c>
      <c r="R195" s="577" t="str">
        <f t="shared" si="145"/>
        <v>= lin. 50 * 0% (nedrundet) =</v>
      </c>
      <c r="S195" s="578"/>
      <c r="T195" s="564"/>
      <c r="U195" s="127"/>
      <c r="V195" s="127"/>
      <c r="W195" s="127"/>
      <c r="X195" s="127"/>
      <c r="Y195" s="127"/>
    </row>
    <row r="196" spans="1:25" s="565" customFormat="1">
      <c r="A196" s="575"/>
      <c r="B196" s="589">
        <f t="shared" si="94"/>
        <v>54</v>
      </c>
      <c r="C196" s="589"/>
      <c r="D196" s="589">
        <f t="shared" si="124"/>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4"/>
        <v>55</v>
      </c>
      <c r="C197" s="589"/>
      <c r="D197" s="589">
        <f t="shared" si="124"/>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4"/>
        <v>98</v>
      </c>
      <c r="E198" s="576"/>
      <c r="F198" s="588" t="s">
        <v>193</v>
      </c>
      <c r="G198" s="577" t="str">
        <f>"= lin. 45 ="</f>
        <v>= lin. 45 =</v>
      </c>
      <c r="H198" s="577" t="str">
        <f t="shared" ref="H198:R198" si="146">"= lin. 45 ="</f>
        <v>= lin. 45 =</v>
      </c>
      <c r="I198" s="577" t="str">
        <f t="shared" si="146"/>
        <v>= lin. 45 =</v>
      </c>
      <c r="J198" s="577" t="str">
        <f t="shared" si="146"/>
        <v>= lin. 45 =</v>
      </c>
      <c r="K198" s="577" t="str">
        <f t="shared" si="146"/>
        <v>= lin. 45 =</v>
      </c>
      <c r="L198" s="577" t="str">
        <f t="shared" si="146"/>
        <v>= lin. 45 =</v>
      </c>
      <c r="M198" s="577" t="str">
        <f t="shared" si="146"/>
        <v>= lin. 45 =</v>
      </c>
      <c r="N198" s="577" t="str">
        <f t="shared" si="146"/>
        <v>= lin. 45 =</v>
      </c>
      <c r="O198" s="577" t="str">
        <f t="shared" si="146"/>
        <v>= lin. 45 =</v>
      </c>
      <c r="P198" s="577" t="str">
        <f t="shared" si="146"/>
        <v>= lin. 45 =</v>
      </c>
      <c r="Q198" s="577" t="str">
        <f t="shared" si="146"/>
        <v>= lin. 45 =</v>
      </c>
      <c r="R198" s="577" t="str">
        <f t="shared" si="146"/>
        <v>= lin. 45 =</v>
      </c>
      <c r="S198" s="578"/>
      <c r="T198" s="564"/>
      <c r="U198" s="127"/>
      <c r="V198" s="127"/>
      <c r="W198" s="127"/>
      <c r="X198" s="127"/>
      <c r="Y198" s="127"/>
    </row>
    <row r="199" spans="1:25" s="565" customFormat="1">
      <c r="A199" s="575"/>
      <c r="B199" s="576">
        <f t="shared" si="94"/>
        <v>57</v>
      </c>
      <c r="C199" s="576"/>
      <c r="D199" s="576">
        <f t="shared" si="124"/>
        <v>99</v>
      </c>
      <c r="E199" s="576"/>
      <c r="F199" s="588" t="s">
        <v>197</v>
      </c>
      <c r="G199" s="577" t="str">
        <f>"= lin. 54 * 2 ="</f>
        <v>= lin. 54 * 2 =</v>
      </c>
      <c r="H199" s="577" t="str">
        <f t="shared" ref="H199:R199" si="147">"= lin. 54 * 2 ="</f>
        <v>= lin. 54 * 2 =</v>
      </c>
      <c r="I199" s="577" t="str">
        <f t="shared" si="147"/>
        <v>= lin. 54 * 2 =</v>
      </c>
      <c r="J199" s="577" t="str">
        <f t="shared" si="147"/>
        <v>= lin. 54 * 2 =</v>
      </c>
      <c r="K199" s="577" t="str">
        <f t="shared" si="147"/>
        <v>= lin. 54 * 2 =</v>
      </c>
      <c r="L199" s="577" t="str">
        <f t="shared" si="147"/>
        <v>= lin. 54 * 2 =</v>
      </c>
      <c r="M199" s="577" t="str">
        <f t="shared" si="147"/>
        <v>= lin. 54 * 2 =</v>
      </c>
      <c r="N199" s="577" t="str">
        <f t="shared" si="147"/>
        <v>= lin. 54 * 2 =</v>
      </c>
      <c r="O199" s="577" t="str">
        <f t="shared" si="147"/>
        <v>= lin. 54 * 2 =</v>
      </c>
      <c r="P199" s="577" t="str">
        <f t="shared" si="147"/>
        <v>= lin. 54 * 2 =</v>
      </c>
      <c r="Q199" s="577" t="str">
        <f t="shared" si="147"/>
        <v>= lin. 54 * 2 =</v>
      </c>
      <c r="R199" s="577" t="str">
        <f t="shared" si="147"/>
        <v>= lin. 54 * 2 =</v>
      </c>
      <c r="S199" s="578"/>
      <c r="T199" s="564"/>
      <c r="U199" s="127"/>
      <c r="V199" s="127"/>
      <c r="W199" s="127"/>
      <c r="X199" s="127"/>
      <c r="Y199" s="127"/>
    </row>
    <row r="200" spans="1:25" s="565" customFormat="1">
      <c r="A200" s="575"/>
      <c r="B200" s="576">
        <f t="shared" si="94"/>
        <v>58</v>
      </c>
      <c r="C200" s="576"/>
      <c r="D200" s="576">
        <f t="shared" si="124"/>
        <v>100</v>
      </c>
      <c r="E200" s="576"/>
      <c r="F200" s="588" t="s">
        <v>46</v>
      </c>
      <c r="G200" s="577" t="str">
        <f>"2/3 af den samlede indbetaling (lin. 58) iflg. A-satser"</f>
        <v>2/3 af den samlede indbetaling (lin. 58) iflg. A-satser</v>
      </c>
      <c r="H200" s="577" t="str">
        <f t="shared" ref="H200:R200" si="148">"2/3 af den samlede indbetaling (lin. 58) iflg. A-satser"</f>
        <v>2/3 af den samlede indbetaling (lin. 58) iflg. A-satser</v>
      </c>
      <c r="I200" s="577" t="str">
        <f t="shared" si="148"/>
        <v>2/3 af den samlede indbetaling (lin. 58) iflg. A-satser</v>
      </c>
      <c r="J200" s="577" t="str">
        <f t="shared" si="148"/>
        <v>2/3 af den samlede indbetaling (lin. 58) iflg. A-satser</v>
      </c>
      <c r="K200" s="577" t="str">
        <f t="shared" si="148"/>
        <v>2/3 af den samlede indbetaling (lin. 58) iflg. A-satser</v>
      </c>
      <c r="L200" s="577" t="str">
        <f t="shared" si="148"/>
        <v>2/3 af den samlede indbetaling (lin. 58) iflg. A-satser</v>
      </c>
      <c r="M200" s="577" t="str">
        <f t="shared" si="148"/>
        <v>2/3 af den samlede indbetaling (lin. 58) iflg. A-satser</v>
      </c>
      <c r="N200" s="577" t="str">
        <f t="shared" si="148"/>
        <v>2/3 af den samlede indbetaling (lin. 58) iflg. A-satser</v>
      </c>
      <c r="O200" s="577" t="str">
        <f t="shared" si="148"/>
        <v>2/3 af den samlede indbetaling (lin. 58) iflg. A-satser</v>
      </c>
      <c r="P200" s="577" t="str">
        <f t="shared" si="148"/>
        <v>2/3 af den samlede indbetaling (lin. 58) iflg. A-satser</v>
      </c>
      <c r="Q200" s="577" t="str">
        <f t="shared" si="148"/>
        <v>2/3 af den samlede indbetaling (lin. 58) iflg. A-satser</v>
      </c>
      <c r="R200" s="577" t="str">
        <f t="shared" si="148"/>
        <v>2/3 af den samlede indbetaling (lin. 58) iflg. A-satser</v>
      </c>
      <c r="S200" s="578"/>
      <c r="T200" s="564"/>
      <c r="U200" s="127"/>
      <c r="V200" s="127"/>
      <c r="W200" s="127"/>
      <c r="X200" s="127"/>
      <c r="Y200" s="127"/>
    </row>
    <row r="201" spans="1:25" s="565" customFormat="1">
      <c r="A201" s="575"/>
      <c r="B201" s="576">
        <f t="shared" si="94"/>
        <v>59</v>
      </c>
      <c r="C201" s="576"/>
      <c r="D201" s="576">
        <f t="shared" si="124"/>
        <v>101</v>
      </c>
      <c r="E201" s="576"/>
      <c r="F201" s="588" t="s">
        <v>120</v>
      </c>
      <c r="G201" s="577" t="str">
        <f>"= lin. 54 + lin. 55 ="</f>
        <v>= lin. 54 + lin. 55 =</v>
      </c>
      <c r="H201" s="577" t="str">
        <f t="shared" ref="H201:R201" si="149">"= lin. 54 + lin. 55 ="</f>
        <v>= lin. 54 + lin. 55 =</v>
      </c>
      <c r="I201" s="577" t="str">
        <f t="shared" si="149"/>
        <v>= lin. 54 + lin. 55 =</v>
      </c>
      <c r="J201" s="577" t="str">
        <f t="shared" si="149"/>
        <v>= lin. 54 + lin. 55 =</v>
      </c>
      <c r="K201" s="577" t="str">
        <f t="shared" si="149"/>
        <v>= lin. 54 + lin. 55 =</v>
      </c>
      <c r="L201" s="577" t="str">
        <f t="shared" si="149"/>
        <v>= lin. 54 + lin. 55 =</v>
      </c>
      <c r="M201" s="577" t="str">
        <f t="shared" si="149"/>
        <v>= lin. 54 + lin. 55 =</v>
      </c>
      <c r="N201" s="577" t="str">
        <f t="shared" si="149"/>
        <v>= lin. 54 + lin. 55 =</v>
      </c>
      <c r="O201" s="577" t="str">
        <f t="shared" si="149"/>
        <v>= lin. 54 + lin. 55 =</v>
      </c>
      <c r="P201" s="577" t="str">
        <f t="shared" si="149"/>
        <v>= lin. 54 + lin. 55 =</v>
      </c>
      <c r="Q201" s="577" t="str">
        <f t="shared" si="149"/>
        <v>= lin. 54 + lin. 55 =</v>
      </c>
      <c r="R201" s="577" t="str">
        <f t="shared" si="149"/>
        <v>= lin. 54 + lin. 55 =</v>
      </c>
      <c r="S201" s="578"/>
      <c r="T201" s="564"/>
      <c r="U201" s="127"/>
      <c r="V201" s="127"/>
      <c r="W201" s="127"/>
      <c r="X201" s="127"/>
      <c r="Y201" s="127"/>
    </row>
    <row r="202" spans="1:25" s="565" customFormat="1">
      <c r="A202" s="575"/>
      <c r="B202" s="576">
        <f t="shared" si="94"/>
        <v>60</v>
      </c>
      <c r="C202" s="576"/>
      <c r="D202" s="576">
        <f t="shared" si="124"/>
        <v>102</v>
      </c>
      <c r="E202" s="576"/>
      <c r="F202" s="588" t="s">
        <v>121</v>
      </c>
      <c r="G202" s="577" t="str">
        <f>"iflg. ATP's satser (afhængig af beskæftigelsesgraden)"</f>
        <v>iflg. ATP's satser (afhængig af beskæftigelsesgraden)</v>
      </c>
      <c r="H202" s="577" t="str">
        <f t="shared" ref="H202:R202" si="150">"iflg. ATP's satser (afhængig af beskæftigelsesgraden)"</f>
        <v>iflg. ATP's satser (afhængig af beskæftigelsesgraden)</v>
      </c>
      <c r="I202" s="577" t="str">
        <f t="shared" si="150"/>
        <v>iflg. ATP's satser (afhængig af beskæftigelsesgraden)</v>
      </c>
      <c r="J202" s="577" t="str">
        <f t="shared" si="150"/>
        <v>iflg. ATP's satser (afhængig af beskæftigelsesgraden)</v>
      </c>
      <c r="K202" s="577" t="str">
        <f t="shared" si="150"/>
        <v>iflg. ATP's satser (afhængig af beskæftigelsesgraden)</v>
      </c>
      <c r="L202" s="577" t="str">
        <f t="shared" si="150"/>
        <v>iflg. ATP's satser (afhængig af beskæftigelsesgraden)</v>
      </c>
      <c r="M202" s="577" t="str">
        <f t="shared" si="150"/>
        <v>iflg. ATP's satser (afhængig af beskæftigelsesgraden)</v>
      </c>
      <c r="N202" s="577" t="str">
        <f t="shared" si="150"/>
        <v>iflg. ATP's satser (afhængig af beskæftigelsesgraden)</v>
      </c>
      <c r="O202" s="577" t="str">
        <f t="shared" si="150"/>
        <v>iflg. ATP's satser (afhængig af beskæftigelsesgraden)</v>
      </c>
      <c r="P202" s="577" t="str">
        <f t="shared" si="150"/>
        <v>iflg. ATP's satser (afhængig af beskæftigelsesgraden)</v>
      </c>
      <c r="Q202" s="577" t="str">
        <f t="shared" si="150"/>
        <v>iflg. ATP's satser (afhængig af beskæftigelsesgraden)</v>
      </c>
      <c r="R202" s="577" t="str">
        <f t="shared" si="150"/>
        <v>iflg. ATP's satser (afhængig af beskæftigelsesgraden)</v>
      </c>
      <c r="S202" s="578"/>
      <c r="T202" s="564"/>
      <c r="U202" s="127"/>
      <c r="V202" s="127"/>
      <c r="W202" s="127"/>
      <c r="X202" s="127"/>
      <c r="Y202" s="127"/>
    </row>
    <row r="203" spans="1:25" s="565" customFormat="1">
      <c r="A203" s="575"/>
      <c r="B203" s="576">
        <f t="shared" si="94"/>
        <v>61</v>
      </c>
      <c r="C203" s="576"/>
      <c r="D203" s="576">
        <f t="shared" si="124"/>
        <v>103</v>
      </c>
      <c r="E203" s="576"/>
      <c r="F203" s="588" t="s">
        <v>144</v>
      </c>
      <c r="G203" s="577" t="e">
        <f t="shared" ref="G203:R203" si="151">"= "&amp;TEXT(ROUND(ROUND(VLOOKUP(VALUE(MID(G5,2,2)),Skalalontabel12,7,0)*G6,0)/12,2),"#.###,00")&amp;" * 15% * "&amp;TEXT(MIN(1,G8),"0,0000")&amp;" * "&amp;TEXT(G$3,"#0/#0")&amp;" ="</f>
        <v>#VALUE!</v>
      </c>
      <c r="H203" s="577" t="e">
        <f t="shared" si="151"/>
        <v>#VALUE!</v>
      </c>
      <c r="I203" s="577" t="e">
        <f t="shared" si="151"/>
        <v>#VALUE!</v>
      </c>
      <c r="J203" s="577" t="e">
        <f t="shared" si="151"/>
        <v>#VALUE!</v>
      </c>
      <c r="K203" s="577" t="e">
        <f t="shared" si="151"/>
        <v>#VALUE!</v>
      </c>
      <c r="L203" s="577" t="e">
        <f t="shared" si="151"/>
        <v>#VALUE!</v>
      </c>
      <c r="M203" s="577" t="e">
        <f t="shared" si="151"/>
        <v>#VALUE!</v>
      </c>
      <c r="N203" s="577" t="e">
        <f t="shared" si="151"/>
        <v>#VALUE!</v>
      </c>
      <c r="O203" s="577" t="e">
        <f t="shared" si="151"/>
        <v>#VALUE!</v>
      </c>
      <c r="P203" s="577" t="e">
        <f t="shared" si="151"/>
        <v>#VALUE!</v>
      </c>
      <c r="Q203" s="577" t="e">
        <f t="shared" si="151"/>
        <v>#VALUE!</v>
      </c>
      <c r="R203" s="577" t="e">
        <f t="shared" si="151"/>
        <v>#VALUE!</v>
      </c>
      <c r="S203" s="578"/>
      <c r="T203" s="564"/>
      <c r="U203" s="127"/>
      <c r="V203" s="127"/>
      <c r="W203" s="127"/>
      <c r="X203" s="127"/>
      <c r="Y203" s="127"/>
    </row>
    <row r="204" spans="1:25" s="565" customFormat="1">
      <c r="A204" s="575"/>
      <c r="B204" s="589">
        <f t="shared" si="94"/>
        <v>62</v>
      </c>
      <c r="C204" s="589"/>
      <c r="D204" s="589">
        <f t="shared" si="124"/>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4"/>
        <v>63</v>
      </c>
      <c r="C205" s="576"/>
      <c r="D205" s="576">
        <f t="shared" si="124"/>
        <v>105</v>
      </c>
      <c r="E205" s="576"/>
      <c r="F205" s="593" t="s">
        <v>228</v>
      </c>
      <c r="G205" s="577" t="str">
        <f>"= lin. 29 - lin. 46 - lin. 48 - lin. 53 - lin. 60 ="</f>
        <v>= lin. 29 - lin. 46 - lin. 48 - lin. 53 - lin. 60 =</v>
      </c>
      <c r="H205" s="577" t="str">
        <f t="shared" ref="H205:R205" si="152">"= lin. 29 - lin. 46 - lin. 48 - lin. 53 - lin. 60 ="</f>
        <v>= lin. 29 - lin. 46 - lin. 48 - lin. 53 - lin. 60 =</v>
      </c>
      <c r="I205" s="577" t="str">
        <f t="shared" si="152"/>
        <v>= lin. 29 - lin. 46 - lin. 48 - lin. 53 - lin. 60 =</v>
      </c>
      <c r="J205" s="577" t="str">
        <f t="shared" si="152"/>
        <v>= lin. 29 - lin. 46 - lin. 48 - lin. 53 - lin. 60 =</v>
      </c>
      <c r="K205" s="577" t="str">
        <f t="shared" si="152"/>
        <v>= lin. 29 - lin. 46 - lin. 48 - lin. 53 - lin. 60 =</v>
      </c>
      <c r="L205" s="577" t="str">
        <f t="shared" si="152"/>
        <v>= lin. 29 - lin. 46 - lin. 48 - lin. 53 - lin. 60 =</v>
      </c>
      <c r="M205" s="577" t="str">
        <f t="shared" si="152"/>
        <v>= lin. 29 - lin. 46 - lin. 48 - lin. 53 - lin. 60 =</v>
      </c>
      <c r="N205" s="577" t="str">
        <f t="shared" si="152"/>
        <v>= lin. 29 - lin. 46 - lin. 48 - lin. 53 - lin. 60 =</v>
      </c>
      <c r="O205" s="577" t="str">
        <f t="shared" si="152"/>
        <v>= lin. 29 - lin. 46 - lin. 48 - lin. 53 - lin. 60 =</v>
      </c>
      <c r="P205" s="577" t="str">
        <f t="shared" si="152"/>
        <v>= lin. 29 - lin. 46 - lin. 48 - lin. 53 - lin. 60 =</v>
      </c>
      <c r="Q205" s="577" t="str">
        <f t="shared" si="152"/>
        <v>= lin. 29 - lin. 46 - lin. 48 - lin. 53 - lin. 60 =</v>
      </c>
      <c r="R205" s="577" t="str">
        <f t="shared" si="152"/>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A3:A9"/>
    <mergeCell ref="C1:C3"/>
    <mergeCell ref="D1:D3"/>
    <mergeCell ref="E1:E3"/>
    <mergeCell ref="C27:C29"/>
  </mergeCells>
  <dataValidations count="7">
    <dataValidation type="decimal" allowBlank="1" showInputMessage="1" showErrorMessage="1" sqref="O6">
      <formula1>1.017162</formula1>
      <formula2>1.04</formula2>
    </dataValidation>
    <dataValidation type="decimal" allowBlank="1" showInputMessage="1" showErrorMessage="1" sqref="G8">
      <formula1>0</formula1>
      <formula2>1.136</formula2>
    </dataValidation>
    <dataValidation type="whole" allowBlank="1" showInputMessage="1" showErrorMessage="1" sqref="G9">
      <formula1>0</formula1>
      <formula2>900</formula2>
    </dataValidation>
    <dataValidation type="whole" allowBlank="1" showInputMessage="1" showErrorMessage="1" sqref="G25">
      <formula1>0</formula1>
      <formula2>20</formula2>
    </dataValidation>
    <dataValidation type="decimal" allowBlank="1" showInputMessage="1" showErrorMessage="1" sqref="G22:R22">
      <formula1>0</formula1>
      <formula2>G21</formula2>
    </dataValidation>
    <dataValidation type="whole" allowBlank="1" showInputMessage="1" showErrorMessage="1" sqref="G26">
      <formula1>0</formula1>
      <formula2>60</formula2>
    </dataValidation>
    <dataValidation type="whole" allowBlank="1" showInputMessage="1" showErrorMessage="1" sqref="G27">
      <formula1>0</formula1>
      <formula2>20000</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Grundlon12!$B$108:$B$134</xm:f>
          </x14:formula1>
          <xm:sqref>G5</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Grundlon12!$F$108:$F$111</xm:f>
          </x14:formula1>
          <xm:sqref>G31:N31</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283</v>
      </c>
      <c r="H1" s="79" t="str">
        <f>G1</f>
        <v>B</v>
      </c>
      <c r="I1" s="79" t="str">
        <f t="shared" ref="I1:R1" si="0">H1</f>
        <v>B</v>
      </c>
      <c r="J1" s="79" t="str">
        <f t="shared" si="0"/>
        <v>B</v>
      </c>
      <c r="K1" s="79" t="str">
        <f t="shared" si="0"/>
        <v>B</v>
      </c>
      <c r="L1" s="79" t="str">
        <f t="shared" si="0"/>
        <v>B</v>
      </c>
      <c r="M1" s="79" t="str">
        <f t="shared" si="0"/>
        <v>B</v>
      </c>
      <c r="N1" s="79" t="str">
        <f t="shared" si="0"/>
        <v>B</v>
      </c>
      <c r="O1" s="79" t="str">
        <f t="shared" si="0"/>
        <v>B</v>
      </c>
      <c r="P1" s="79" t="str">
        <f t="shared" si="0"/>
        <v>B</v>
      </c>
      <c r="Q1" s="79" t="str">
        <f t="shared" si="0"/>
        <v>B</v>
      </c>
      <c r="R1" s="79" t="str">
        <f t="shared" si="0"/>
        <v>B</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whole" allowBlank="1" showInputMessage="1" showErrorMessage="1" sqref="G27">
      <formula1>0</formula1>
      <formula2>20000</formula2>
    </dataValidation>
    <dataValidation type="whole" allowBlank="1" showInputMessage="1" showErrorMessage="1" sqref="G26">
      <formula1>0</formula1>
      <formula2>60</formula2>
    </dataValidation>
    <dataValidation type="decimal" allowBlank="1" showInputMessage="1" showErrorMessage="1" sqref="G22:R22">
      <formula1>0</formula1>
      <formula2>G21</formula2>
    </dataValidation>
    <dataValidation type="whole" allowBlank="1" showInputMessage="1" showErrorMessage="1" sqref="G25">
      <formula1>0</formula1>
      <formula2>20</formula2>
    </dataValidation>
    <dataValidation type="whole" allowBlank="1" showInputMessage="1" showErrorMessage="1" sqref="G9">
      <formula1>0</formula1>
      <formula2>900</formula2>
    </dataValidation>
    <dataValidation type="decimal" allowBlank="1" showInputMessage="1" showErrorMessage="1" sqref="G8">
      <formula1>0</formula1>
      <formula2>1.136</formula2>
    </dataValidation>
    <dataValidation type="decimal" allowBlank="1" showInputMessage="1" showErrorMessage="1" sqref="O6">
      <formula1>1.017162</formula1>
      <formula2>1.04</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Grundlon12!$F$108:$F$111</xm:f>
          </x14:formula1>
          <xm:sqref>G31:N31</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Grundlon12!$B$108:$B$134</xm:f>
          </x14:formula1>
          <xm:sqref>G5</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FF00"/>
    <pageSetUpPr fitToPage="1"/>
  </sheetPr>
  <dimension ref="A1:Y324"/>
  <sheetViews>
    <sheetView workbookViewId="0">
      <pane xSplit="6" ySplit="2" topLeftCell="G3" activePane="bottomRight" state="frozen"/>
      <selection activeCell="T30" sqref="T30"/>
      <selection pane="topRight" activeCell="T30" sqref="T30"/>
      <selection pane="bottomLeft" activeCell="T30" sqref="T30"/>
      <selection pane="bottomRight" activeCell="G1" sqref="G1"/>
    </sheetView>
  </sheetViews>
  <sheetFormatPr baseColWidth="10" defaultColWidth="20.85546875" defaultRowHeight="12" x14ac:dyDescent="0"/>
  <cols>
    <col min="1" max="1" width="10.140625" style="4" customWidth="1"/>
    <col min="2" max="2" width="3.5703125" style="23" customWidth="1"/>
    <col min="3" max="5" width="5.140625" style="23" customWidth="1"/>
    <col min="6" max="6" width="32.42578125" style="4" customWidth="1"/>
    <col min="7" max="7" width="9.7109375" style="25" customWidth="1"/>
    <col min="8" max="8" width="10" style="25" customWidth="1"/>
    <col min="9" max="18" width="9.7109375" style="25" customWidth="1"/>
    <col min="19" max="19" width="44.85546875" style="3" customWidth="1"/>
    <col min="20" max="20" width="9.7109375" style="127" customWidth="1"/>
    <col min="21" max="21" width="10.140625" style="127" customWidth="1"/>
    <col min="22" max="25" width="8.7109375" style="127" customWidth="1"/>
    <col min="26" max="16384" width="20.85546875" style="86"/>
  </cols>
  <sheetData>
    <row r="1" spans="1:25" ht="27" customHeight="1">
      <c r="A1" s="435" t="s">
        <v>534</v>
      </c>
      <c r="B1" s="1">
        <v>1</v>
      </c>
      <c r="C1" s="638" t="s">
        <v>437</v>
      </c>
      <c r="D1" s="638" t="s">
        <v>438</v>
      </c>
      <c r="E1" s="638" t="s">
        <v>439</v>
      </c>
      <c r="F1" s="64" t="s">
        <v>559</v>
      </c>
      <c r="G1" s="600" t="s">
        <v>284</v>
      </c>
      <c r="H1" s="79" t="str">
        <f>G1</f>
        <v>C</v>
      </c>
      <c r="I1" s="79" t="str">
        <f t="shared" ref="I1:R1" si="0">H1</f>
        <v>C</v>
      </c>
      <c r="J1" s="79" t="str">
        <f t="shared" si="0"/>
        <v>C</v>
      </c>
      <c r="K1" s="79" t="str">
        <f t="shared" si="0"/>
        <v>C</v>
      </c>
      <c r="L1" s="79" t="str">
        <f t="shared" si="0"/>
        <v>C</v>
      </c>
      <c r="M1" s="79" t="str">
        <f t="shared" si="0"/>
        <v>C</v>
      </c>
      <c r="N1" s="79" t="str">
        <f t="shared" si="0"/>
        <v>C</v>
      </c>
      <c r="O1" s="79" t="str">
        <f t="shared" si="0"/>
        <v>C</v>
      </c>
      <c r="P1" s="79" t="str">
        <f t="shared" si="0"/>
        <v>C</v>
      </c>
      <c r="Q1" s="79" t="str">
        <f t="shared" si="0"/>
        <v>C</v>
      </c>
      <c r="R1" s="79" t="str">
        <f t="shared" si="0"/>
        <v>C</v>
      </c>
      <c r="S1" s="3" t="s">
        <v>198</v>
      </c>
      <c r="T1" s="92"/>
      <c r="U1" s="92"/>
      <c r="V1" s="92"/>
      <c r="W1" s="92"/>
      <c r="X1" s="92"/>
      <c r="Y1" s="92"/>
    </row>
    <row r="2" spans="1:25" ht="14" customHeight="1">
      <c r="A2" s="436" t="s">
        <v>436</v>
      </c>
      <c r="B2" s="5">
        <f t="shared" ref="B2:B45" si="1">B1+1</f>
        <v>2</v>
      </c>
      <c r="C2" s="638"/>
      <c r="D2" s="638"/>
      <c r="E2" s="638"/>
      <c r="F2" s="94" t="s">
        <v>44</v>
      </c>
      <c r="G2" s="78" t="str">
        <f>"AUG 14"</f>
        <v>AUG 14</v>
      </c>
      <c r="H2" s="78" t="str">
        <f>"SEP14"</f>
        <v>SEP14</v>
      </c>
      <c r="I2" s="78" t="str">
        <f>"OKT 14"</f>
        <v>OKT 14</v>
      </c>
      <c r="J2" s="78" t="str">
        <f>"NOV 14"</f>
        <v>NOV 14</v>
      </c>
      <c r="K2" s="78" t="str">
        <f>"DEC 14"</f>
        <v>DEC 14</v>
      </c>
      <c r="L2" s="78" t="str">
        <f>"JAN 15"</f>
        <v>JAN 15</v>
      </c>
      <c r="M2" s="78" t="str">
        <f>"FEB 15"</f>
        <v>FEB 15</v>
      </c>
      <c r="N2" s="78" t="str">
        <f>"MAR 15"</f>
        <v>MAR 15</v>
      </c>
      <c r="O2" s="265" t="str">
        <f>"APR 15"</f>
        <v>APR 15</v>
      </c>
      <c r="P2" s="265" t="str">
        <f>"MAJ15"</f>
        <v>MAJ15</v>
      </c>
      <c r="Q2" s="265" t="str">
        <f>"JUN 15"</f>
        <v>JUN 15</v>
      </c>
      <c r="R2" s="265" t="str">
        <f>"JUL 15"</f>
        <v>JUL 15</v>
      </c>
      <c r="S2" s="263" t="s">
        <v>177</v>
      </c>
      <c r="T2" s="92"/>
      <c r="U2" s="92"/>
      <c r="V2" s="92"/>
      <c r="W2" s="92"/>
      <c r="X2" s="92"/>
      <c r="Y2" s="92"/>
    </row>
    <row r="3" spans="1:25" ht="27" customHeight="1">
      <c r="A3" s="636" t="s">
        <v>540</v>
      </c>
      <c r="B3" s="5">
        <f t="shared" si="1"/>
        <v>3</v>
      </c>
      <c r="C3" s="638"/>
      <c r="D3" s="638"/>
      <c r="E3" s="638"/>
      <c r="F3" s="168" t="s">
        <v>45</v>
      </c>
      <c r="G3" s="601">
        <v>1</v>
      </c>
      <c r="H3" s="424">
        <v>1</v>
      </c>
      <c r="I3" s="424">
        <v>1</v>
      </c>
      <c r="J3" s="424">
        <v>1</v>
      </c>
      <c r="K3" s="424">
        <v>1</v>
      </c>
      <c r="L3" s="424">
        <v>1</v>
      </c>
      <c r="M3" s="424">
        <v>1</v>
      </c>
      <c r="N3" s="424">
        <v>1</v>
      </c>
      <c r="O3" s="424">
        <v>1</v>
      </c>
      <c r="P3" s="424">
        <v>1</v>
      </c>
      <c r="Q3" s="424">
        <v>1</v>
      </c>
      <c r="R3" s="424">
        <v>1</v>
      </c>
      <c r="S3" s="7" t="s">
        <v>375</v>
      </c>
      <c r="T3" s="92"/>
      <c r="U3" s="92"/>
      <c r="V3" s="92"/>
      <c r="W3" s="92"/>
      <c r="X3" s="92"/>
      <c r="Y3" s="92"/>
    </row>
    <row r="4" spans="1:25" ht="14" customHeight="1">
      <c r="A4" s="637"/>
      <c r="B4" s="5">
        <f t="shared" si="1"/>
        <v>4</v>
      </c>
      <c r="C4" s="447" t="s">
        <v>440</v>
      </c>
      <c r="D4" s="447" t="s">
        <v>440</v>
      </c>
      <c r="E4" s="447" t="s">
        <v>440</v>
      </c>
      <c r="F4" s="169" t="s">
        <v>435</v>
      </c>
      <c r="G4" s="418"/>
      <c r="H4" s="248">
        <f>G4</f>
        <v>0</v>
      </c>
      <c r="I4" s="248">
        <f t="shared" ref="I4:R4" si="2">H4</f>
        <v>0</v>
      </c>
      <c r="J4" s="248">
        <f t="shared" si="2"/>
        <v>0</v>
      </c>
      <c r="K4" s="248">
        <f t="shared" si="2"/>
        <v>0</v>
      </c>
      <c r="L4" s="248">
        <f t="shared" si="2"/>
        <v>0</v>
      </c>
      <c r="M4" s="248">
        <f t="shared" si="2"/>
        <v>0</v>
      </c>
      <c r="N4" s="248">
        <f t="shared" si="2"/>
        <v>0</v>
      </c>
      <c r="O4" s="248">
        <f t="shared" si="2"/>
        <v>0</v>
      </c>
      <c r="P4" s="248">
        <f t="shared" si="2"/>
        <v>0</v>
      </c>
      <c r="Q4" s="248">
        <f t="shared" si="2"/>
        <v>0</v>
      </c>
      <c r="R4" s="248">
        <f t="shared" si="2"/>
        <v>0</v>
      </c>
      <c r="S4" s="7" t="s">
        <v>216</v>
      </c>
      <c r="T4" s="92"/>
      <c r="U4" s="92"/>
      <c r="V4" s="92"/>
      <c r="W4" s="92"/>
      <c r="X4" s="92"/>
      <c r="Y4" s="92"/>
    </row>
    <row r="5" spans="1:25" ht="24" customHeight="1">
      <c r="A5" s="637"/>
      <c r="B5" s="5">
        <f>B4+1</f>
        <v>5</v>
      </c>
      <c r="C5" s="448"/>
      <c r="D5" s="449"/>
      <c r="E5" s="450"/>
      <c r="F5" s="169" t="s">
        <v>123</v>
      </c>
      <c r="G5" s="418"/>
      <c r="H5" s="80">
        <f>$G5</f>
        <v>0</v>
      </c>
      <c r="I5" s="80">
        <f t="shared" ref="I5:R7" si="3">$G5</f>
        <v>0</v>
      </c>
      <c r="J5" s="80">
        <f t="shared" si="3"/>
        <v>0</v>
      </c>
      <c r="K5" s="80">
        <f t="shared" si="3"/>
        <v>0</v>
      </c>
      <c r="L5" s="80">
        <f t="shared" si="3"/>
        <v>0</v>
      </c>
      <c r="M5" s="80">
        <f t="shared" si="3"/>
        <v>0</v>
      </c>
      <c r="N5" s="80">
        <f t="shared" si="3"/>
        <v>0</v>
      </c>
      <c r="O5" s="80">
        <f t="shared" si="3"/>
        <v>0</v>
      </c>
      <c r="P5" s="80">
        <f t="shared" si="3"/>
        <v>0</v>
      </c>
      <c r="Q5" s="80">
        <f t="shared" si="3"/>
        <v>0</v>
      </c>
      <c r="R5" s="80">
        <f t="shared" si="3"/>
        <v>0</v>
      </c>
      <c r="S5" s="7" t="s">
        <v>18</v>
      </c>
      <c r="T5" s="92"/>
      <c r="U5" s="92"/>
      <c r="V5" s="92"/>
      <c r="W5" s="92"/>
      <c r="X5" s="92"/>
      <c r="Y5" s="92"/>
    </row>
    <row r="6" spans="1:25" ht="14" customHeight="1">
      <c r="A6" s="637"/>
      <c r="B6" s="5">
        <f t="shared" si="1"/>
        <v>6</v>
      </c>
      <c r="C6" s="451"/>
      <c r="D6" s="452"/>
      <c r="E6" s="453"/>
      <c r="F6" s="169" t="s">
        <v>223</v>
      </c>
      <c r="G6" s="350">
        <v>1.0171619999999999</v>
      </c>
      <c r="H6" s="350">
        <v>1.0171619999999999</v>
      </c>
      <c r="I6" s="350">
        <v>1.0171619999999999</v>
      </c>
      <c r="J6" s="350">
        <v>1.0171619999999999</v>
      </c>
      <c r="K6" s="350">
        <v>1.0171619999999999</v>
      </c>
      <c r="L6" s="350">
        <v>1.0171619999999999</v>
      </c>
      <c r="M6" s="350">
        <v>1.0171619999999999</v>
      </c>
      <c r="N6" s="350">
        <v>1.0171619999999999</v>
      </c>
      <c r="O6" s="399">
        <v>1.038</v>
      </c>
      <c r="P6" s="71">
        <f>O6</f>
        <v>1.038</v>
      </c>
      <c r="Q6" s="71">
        <f>P6</f>
        <v>1.038</v>
      </c>
      <c r="R6" s="71">
        <f>Q6</f>
        <v>1.038</v>
      </c>
      <c r="S6" s="72" t="s">
        <v>403</v>
      </c>
      <c r="T6" s="92"/>
      <c r="U6" s="92"/>
      <c r="V6" s="92"/>
      <c r="W6" s="92"/>
      <c r="X6" s="92"/>
      <c r="Y6" s="92"/>
    </row>
    <row r="7" spans="1:25" ht="14" customHeight="1">
      <c r="A7" s="637"/>
      <c r="B7" s="5">
        <f t="shared" si="1"/>
        <v>7</v>
      </c>
      <c r="C7" s="448"/>
      <c r="D7" s="449"/>
      <c r="E7" s="450"/>
      <c r="F7" s="169" t="s">
        <v>139</v>
      </c>
      <c r="G7" s="396">
        <v>2</v>
      </c>
      <c r="H7" s="80">
        <f>$G7</f>
        <v>2</v>
      </c>
      <c r="I7" s="80">
        <f t="shared" si="3"/>
        <v>2</v>
      </c>
      <c r="J7" s="80">
        <f t="shared" si="3"/>
        <v>2</v>
      </c>
      <c r="K7" s="80">
        <f t="shared" si="3"/>
        <v>2</v>
      </c>
      <c r="L7" s="80">
        <f t="shared" si="3"/>
        <v>2</v>
      </c>
      <c r="M7" s="80">
        <f t="shared" si="3"/>
        <v>2</v>
      </c>
      <c r="N7" s="80">
        <f t="shared" si="3"/>
        <v>2</v>
      </c>
      <c r="O7" s="80">
        <f t="shared" si="3"/>
        <v>2</v>
      </c>
      <c r="P7" s="80">
        <f t="shared" si="3"/>
        <v>2</v>
      </c>
      <c r="Q7" s="80">
        <f t="shared" si="3"/>
        <v>2</v>
      </c>
      <c r="R7" s="80">
        <f t="shared" si="3"/>
        <v>2</v>
      </c>
      <c r="S7" s="3" t="s">
        <v>108</v>
      </c>
      <c r="T7" s="92"/>
      <c r="U7" s="92"/>
      <c r="V7" s="92"/>
      <c r="W7" s="92"/>
      <c r="X7" s="92"/>
      <c r="Y7" s="92"/>
    </row>
    <row r="8" spans="1:25" ht="24">
      <c r="A8" s="637"/>
      <c r="B8" s="5">
        <f>B7+1</f>
        <v>8</v>
      </c>
      <c r="C8" s="448"/>
      <c r="D8" s="449"/>
      <c r="E8" s="450"/>
      <c r="F8" s="169" t="s">
        <v>42</v>
      </c>
      <c r="G8" s="419"/>
      <c r="H8" s="249">
        <f t="shared" ref="H8:R11" si="4">G8</f>
        <v>0</v>
      </c>
      <c r="I8" s="249">
        <f t="shared" si="4"/>
        <v>0</v>
      </c>
      <c r="J8" s="249">
        <f t="shared" si="4"/>
        <v>0</v>
      </c>
      <c r="K8" s="249">
        <f t="shared" si="4"/>
        <v>0</v>
      </c>
      <c r="L8" s="249">
        <f t="shared" si="4"/>
        <v>0</v>
      </c>
      <c r="M8" s="249">
        <f t="shared" si="4"/>
        <v>0</v>
      </c>
      <c r="N8" s="249">
        <f t="shared" si="4"/>
        <v>0</v>
      </c>
      <c r="O8" s="249">
        <f t="shared" si="4"/>
        <v>0</v>
      </c>
      <c r="P8" s="249">
        <f t="shared" si="4"/>
        <v>0</v>
      </c>
      <c r="Q8" s="249">
        <f t="shared" si="4"/>
        <v>0</v>
      </c>
      <c r="R8" s="249">
        <f t="shared" si="4"/>
        <v>0</v>
      </c>
      <c r="S8" s="7" t="s">
        <v>82</v>
      </c>
      <c r="T8" s="92"/>
      <c r="U8" s="92"/>
      <c r="V8" s="92"/>
      <c r="W8" s="92"/>
      <c r="X8" s="92"/>
      <c r="Y8" s="92"/>
    </row>
    <row r="9" spans="1:25" ht="24" customHeight="1">
      <c r="A9" s="637"/>
      <c r="B9" s="5">
        <f t="shared" si="1"/>
        <v>9</v>
      </c>
      <c r="C9" s="448"/>
      <c r="D9" s="449"/>
      <c r="E9" s="450"/>
      <c r="F9" s="169" t="s">
        <v>225</v>
      </c>
      <c r="G9" s="421"/>
      <c r="H9" s="250">
        <f t="shared" si="4"/>
        <v>0</v>
      </c>
      <c r="I9" s="250">
        <f t="shared" si="4"/>
        <v>0</v>
      </c>
      <c r="J9" s="250">
        <f t="shared" si="4"/>
        <v>0</v>
      </c>
      <c r="K9" s="250">
        <f t="shared" si="4"/>
        <v>0</v>
      </c>
      <c r="L9" s="250">
        <f t="shared" si="4"/>
        <v>0</v>
      </c>
      <c r="M9" s="250">
        <f t="shared" si="4"/>
        <v>0</v>
      </c>
      <c r="N9" s="250">
        <f t="shared" si="4"/>
        <v>0</v>
      </c>
      <c r="O9" s="250">
        <f t="shared" si="4"/>
        <v>0</v>
      </c>
      <c r="P9" s="250">
        <f t="shared" si="4"/>
        <v>0</v>
      </c>
      <c r="Q9" s="250">
        <f t="shared" si="4"/>
        <v>0</v>
      </c>
      <c r="R9" s="250">
        <f t="shared" si="4"/>
        <v>0</v>
      </c>
      <c r="S9" s="7" t="s">
        <v>76</v>
      </c>
      <c r="T9" s="92"/>
      <c r="U9" s="92"/>
      <c r="V9" s="92"/>
      <c r="W9" s="92"/>
      <c r="X9" s="92"/>
      <c r="Y9" s="92"/>
    </row>
    <row r="10" spans="1:25" ht="24" customHeight="1">
      <c r="A10" s="437"/>
      <c r="B10" s="5">
        <f t="shared" si="1"/>
        <v>10</v>
      </c>
      <c r="C10" s="448"/>
      <c r="D10" s="449"/>
      <c r="E10" s="450"/>
      <c r="F10" s="171" t="s">
        <v>359</v>
      </c>
      <c r="G10" s="602"/>
      <c r="H10" s="251">
        <f>G10</f>
        <v>0</v>
      </c>
      <c r="I10" s="251">
        <f t="shared" si="4"/>
        <v>0</v>
      </c>
      <c r="J10" s="251">
        <f t="shared" si="4"/>
        <v>0</v>
      </c>
      <c r="K10" s="251">
        <f t="shared" si="4"/>
        <v>0</v>
      </c>
      <c r="L10" s="251">
        <f t="shared" si="4"/>
        <v>0</v>
      </c>
      <c r="M10" s="251">
        <f t="shared" si="4"/>
        <v>0</v>
      </c>
      <c r="N10" s="251">
        <f t="shared" si="4"/>
        <v>0</v>
      </c>
      <c r="O10" s="251">
        <f t="shared" si="4"/>
        <v>0</v>
      </c>
      <c r="P10" s="251">
        <f t="shared" si="4"/>
        <v>0</v>
      </c>
      <c r="Q10" s="251">
        <f t="shared" si="4"/>
        <v>0</v>
      </c>
      <c r="R10" s="251">
        <f t="shared" si="4"/>
        <v>0</v>
      </c>
      <c r="S10" s="13" t="s">
        <v>360</v>
      </c>
      <c r="T10" s="92"/>
      <c r="U10" s="92"/>
      <c r="V10" s="92"/>
      <c r="W10" s="92"/>
      <c r="X10" s="92"/>
      <c r="Y10" s="92"/>
    </row>
    <row r="11" spans="1:25" ht="24" customHeight="1">
      <c r="A11" s="437"/>
      <c r="B11" s="5">
        <f t="shared" si="1"/>
        <v>11</v>
      </c>
      <c r="C11" s="599" t="s">
        <v>441</v>
      </c>
      <c r="D11" s="454"/>
      <c r="E11" s="599" t="s">
        <v>441</v>
      </c>
      <c r="F11" s="172" t="s">
        <v>445</v>
      </c>
      <c r="G11" s="602"/>
      <c r="H11" s="251">
        <f>G11</f>
        <v>0</v>
      </c>
      <c r="I11" s="251">
        <f t="shared" si="4"/>
        <v>0</v>
      </c>
      <c r="J11" s="251">
        <f t="shared" si="4"/>
        <v>0</v>
      </c>
      <c r="K11" s="251">
        <f t="shared" si="4"/>
        <v>0</v>
      </c>
      <c r="L11" s="251">
        <f t="shared" si="4"/>
        <v>0</v>
      </c>
      <c r="M11" s="251">
        <f t="shared" si="4"/>
        <v>0</v>
      </c>
      <c r="N11" s="251">
        <f t="shared" si="4"/>
        <v>0</v>
      </c>
      <c r="O11" s="251">
        <f t="shared" si="4"/>
        <v>0</v>
      </c>
      <c r="P11" s="251">
        <f t="shared" si="4"/>
        <v>0</v>
      </c>
      <c r="Q11" s="251">
        <f t="shared" si="4"/>
        <v>0</v>
      </c>
      <c r="R11" s="251">
        <f t="shared" si="4"/>
        <v>0</v>
      </c>
      <c r="S11" s="3" t="s">
        <v>361</v>
      </c>
      <c r="T11" s="92"/>
      <c r="U11" s="92"/>
      <c r="V11" s="92"/>
      <c r="W11" s="92"/>
      <c r="X11" s="92"/>
      <c r="Y11" s="92"/>
    </row>
    <row r="12" spans="1:25" ht="24" customHeight="1">
      <c r="A12" s="437"/>
      <c r="B12" s="5">
        <f>B11+1</f>
        <v>12</v>
      </c>
      <c r="C12" s="599" t="s">
        <v>441</v>
      </c>
      <c r="D12" s="454"/>
      <c r="E12" s="599" t="s">
        <v>441</v>
      </c>
      <c r="F12" s="172" t="s">
        <v>445</v>
      </c>
      <c r="G12" s="603"/>
      <c r="H12" s="252">
        <f t="shared" ref="H12:R20" si="5">G12</f>
        <v>0</v>
      </c>
      <c r="I12" s="252">
        <f t="shared" si="5"/>
        <v>0</v>
      </c>
      <c r="J12" s="252">
        <f t="shared" si="5"/>
        <v>0</v>
      </c>
      <c r="K12" s="252">
        <f t="shared" si="5"/>
        <v>0</v>
      </c>
      <c r="L12" s="252">
        <f t="shared" si="5"/>
        <v>0</v>
      </c>
      <c r="M12" s="252">
        <f t="shared" si="5"/>
        <v>0</v>
      </c>
      <c r="N12" s="252">
        <f t="shared" si="5"/>
        <v>0</v>
      </c>
      <c r="O12" s="252">
        <f t="shared" si="5"/>
        <v>0</v>
      </c>
      <c r="P12" s="252">
        <f t="shared" si="5"/>
        <v>0</v>
      </c>
      <c r="Q12" s="252">
        <f t="shared" si="5"/>
        <v>0</v>
      </c>
      <c r="R12" s="252">
        <f t="shared" si="5"/>
        <v>0</v>
      </c>
      <c r="S12" s="3" t="s">
        <v>361</v>
      </c>
      <c r="T12" s="92"/>
      <c r="U12" s="92"/>
      <c r="V12" s="92"/>
      <c r="W12" s="92"/>
      <c r="X12" s="92"/>
      <c r="Y12" s="92"/>
    </row>
    <row r="13" spans="1:25" ht="24" customHeight="1">
      <c r="A13" s="437"/>
      <c r="B13" s="5">
        <f t="shared" si="1"/>
        <v>13</v>
      </c>
      <c r="C13" s="599" t="s">
        <v>441</v>
      </c>
      <c r="D13" s="454"/>
      <c r="E13" s="599" t="s">
        <v>441</v>
      </c>
      <c r="F13" s="172" t="s">
        <v>445</v>
      </c>
      <c r="G13" s="604"/>
      <c r="H13" s="253">
        <f>G13</f>
        <v>0</v>
      </c>
      <c r="I13" s="253">
        <f t="shared" si="5"/>
        <v>0</v>
      </c>
      <c r="J13" s="253">
        <f t="shared" si="5"/>
        <v>0</v>
      </c>
      <c r="K13" s="253">
        <f t="shared" si="5"/>
        <v>0</v>
      </c>
      <c r="L13" s="253">
        <f t="shared" si="5"/>
        <v>0</v>
      </c>
      <c r="M13" s="253">
        <f t="shared" si="5"/>
        <v>0</v>
      </c>
      <c r="N13" s="253">
        <f t="shared" si="5"/>
        <v>0</v>
      </c>
      <c r="O13" s="253">
        <f t="shared" si="5"/>
        <v>0</v>
      </c>
      <c r="P13" s="253">
        <f t="shared" si="5"/>
        <v>0</v>
      </c>
      <c r="Q13" s="253">
        <f t="shared" si="5"/>
        <v>0</v>
      </c>
      <c r="R13" s="253">
        <f t="shared" si="5"/>
        <v>0</v>
      </c>
      <c r="S13" s="3" t="s">
        <v>361</v>
      </c>
      <c r="T13" s="92"/>
      <c r="U13" s="92"/>
      <c r="V13" s="92"/>
      <c r="W13" s="92"/>
      <c r="X13" s="92"/>
      <c r="Y13" s="92"/>
    </row>
    <row r="14" spans="1:25" ht="24" customHeight="1">
      <c r="A14" s="437"/>
      <c r="B14" s="5">
        <f t="shared" si="1"/>
        <v>14</v>
      </c>
      <c r="C14" s="599" t="s">
        <v>441</v>
      </c>
      <c r="D14" s="454" t="s">
        <v>441</v>
      </c>
      <c r="E14" s="599" t="s">
        <v>441</v>
      </c>
      <c r="F14" s="175" t="s">
        <v>446</v>
      </c>
      <c r="G14" s="622"/>
      <c r="H14" s="417">
        <f t="shared" si="5"/>
        <v>0</v>
      </c>
      <c r="I14" s="417">
        <f t="shared" si="5"/>
        <v>0</v>
      </c>
      <c r="J14" s="417">
        <f t="shared" si="5"/>
        <v>0</v>
      </c>
      <c r="K14" s="417">
        <f t="shared" si="5"/>
        <v>0</v>
      </c>
      <c r="L14" s="417">
        <f t="shared" si="5"/>
        <v>0</v>
      </c>
      <c r="M14" s="417">
        <f t="shared" si="5"/>
        <v>0</v>
      </c>
      <c r="N14" s="417">
        <f t="shared" si="5"/>
        <v>0</v>
      </c>
      <c r="O14" s="417">
        <f t="shared" si="5"/>
        <v>0</v>
      </c>
      <c r="P14" s="417">
        <f t="shared" si="5"/>
        <v>0</v>
      </c>
      <c r="Q14" s="417">
        <f t="shared" si="5"/>
        <v>0</v>
      </c>
      <c r="R14" s="417">
        <f t="shared" si="5"/>
        <v>0</v>
      </c>
      <c r="S14" s="3" t="s">
        <v>361</v>
      </c>
      <c r="T14" s="92"/>
      <c r="U14" s="92"/>
      <c r="V14" s="92"/>
      <c r="W14" s="92"/>
      <c r="X14" s="92"/>
      <c r="Y14" s="92"/>
    </row>
    <row r="15" spans="1:25" ht="24" customHeight="1">
      <c r="A15" s="437"/>
      <c r="B15" s="5">
        <f t="shared" si="1"/>
        <v>15</v>
      </c>
      <c r="C15" s="599" t="s">
        <v>441</v>
      </c>
      <c r="D15" s="454"/>
      <c r="E15" s="599" t="s">
        <v>441</v>
      </c>
      <c r="F15" s="175" t="s">
        <v>446</v>
      </c>
      <c r="G15" s="603"/>
      <c r="H15" s="252">
        <f t="shared" si="5"/>
        <v>0</v>
      </c>
      <c r="I15" s="252">
        <f t="shared" si="5"/>
        <v>0</v>
      </c>
      <c r="J15" s="252">
        <f t="shared" si="5"/>
        <v>0</v>
      </c>
      <c r="K15" s="252">
        <f t="shared" si="5"/>
        <v>0</v>
      </c>
      <c r="L15" s="252">
        <f t="shared" si="5"/>
        <v>0</v>
      </c>
      <c r="M15" s="252">
        <f t="shared" si="5"/>
        <v>0</v>
      </c>
      <c r="N15" s="252">
        <f t="shared" si="5"/>
        <v>0</v>
      </c>
      <c r="O15" s="252">
        <f t="shared" si="5"/>
        <v>0</v>
      </c>
      <c r="P15" s="252">
        <f t="shared" si="5"/>
        <v>0</v>
      </c>
      <c r="Q15" s="252">
        <f t="shared" si="5"/>
        <v>0</v>
      </c>
      <c r="R15" s="252">
        <f t="shared" si="5"/>
        <v>0</v>
      </c>
      <c r="S15" s="3" t="s">
        <v>361</v>
      </c>
      <c r="T15" s="92"/>
      <c r="U15" s="92"/>
      <c r="V15" s="92"/>
      <c r="W15" s="92"/>
      <c r="X15" s="92"/>
      <c r="Y15" s="92"/>
    </row>
    <row r="16" spans="1:25" ht="24" customHeight="1">
      <c r="A16" s="437"/>
      <c r="B16" s="5">
        <f>B15+1</f>
        <v>16</v>
      </c>
      <c r="C16" s="599" t="s">
        <v>441</v>
      </c>
      <c r="D16" s="454"/>
      <c r="E16" s="599" t="s">
        <v>441</v>
      </c>
      <c r="F16" s="175" t="s">
        <v>446</v>
      </c>
      <c r="G16" s="603"/>
      <c r="H16" s="252">
        <f t="shared" si="5"/>
        <v>0</v>
      </c>
      <c r="I16" s="252">
        <f t="shared" si="5"/>
        <v>0</v>
      </c>
      <c r="J16" s="252">
        <f t="shared" si="5"/>
        <v>0</v>
      </c>
      <c r="K16" s="252">
        <f t="shared" si="5"/>
        <v>0</v>
      </c>
      <c r="L16" s="252">
        <f t="shared" si="5"/>
        <v>0</v>
      </c>
      <c r="M16" s="252">
        <f t="shared" si="5"/>
        <v>0</v>
      </c>
      <c r="N16" s="252">
        <f t="shared" si="5"/>
        <v>0</v>
      </c>
      <c r="O16" s="252">
        <f t="shared" si="5"/>
        <v>0</v>
      </c>
      <c r="P16" s="252">
        <f t="shared" si="5"/>
        <v>0</v>
      </c>
      <c r="Q16" s="252">
        <f t="shared" si="5"/>
        <v>0</v>
      </c>
      <c r="R16" s="252">
        <f t="shared" si="5"/>
        <v>0</v>
      </c>
      <c r="S16" s="3" t="s">
        <v>361</v>
      </c>
      <c r="T16" s="92"/>
      <c r="U16" s="92"/>
      <c r="V16" s="92"/>
      <c r="W16" s="92"/>
      <c r="X16" s="92"/>
      <c r="Y16" s="92"/>
    </row>
    <row r="17" spans="1:25" ht="24" customHeight="1">
      <c r="A17" s="437"/>
      <c r="B17" s="75">
        <f>B16+1</f>
        <v>17</v>
      </c>
      <c r="C17" s="458"/>
      <c r="D17" s="459"/>
      <c r="E17" s="460"/>
      <c r="F17" s="416" t="s">
        <v>363</v>
      </c>
      <c r="G17" s="602"/>
      <c r="H17" s="417">
        <f t="shared" si="5"/>
        <v>0</v>
      </c>
      <c r="I17" s="417">
        <f t="shared" si="5"/>
        <v>0</v>
      </c>
      <c r="J17" s="417">
        <f t="shared" si="5"/>
        <v>0</v>
      </c>
      <c r="K17" s="417">
        <f t="shared" si="5"/>
        <v>0</v>
      </c>
      <c r="L17" s="417">
        <f t="shared" si="5"/>
        <v>0</v>
      </c>
      <c r="M17" s="417">
        <f t="shared" si="5"/>
        <v>0</v>
      </c>
      <c r="N17" s="417">
        <f t="shared" si="5"/>
        <v>0</v>
      </c>
      <c r="O17" s="417">
        <f t="shared" si="5"/>
        <v>0</v>
      </c>
      <c r="P17" s="417">
        <f t="shared" si="5"/>
        <v>0</v>
      </c>
      <c r="Q17" s="417">
        <f t="shared" si="5"/>
        <v>0</v>
      </c>
      <c r="R17" s="417">
        <f t="shared" si="5"/>
        <v>0</v>
      </c>
      <c r="S17" s="7" t="s">
        <v>366</v>
      </c>
      <c r="T17" s="92"/>
      <c r="U17" s="92"/>
      <c r="V17" s="92"/>
      <c r="W17" s="92"/>
      <c r="X17" s="92"/>
      <c r="Y17" s="92"/>
    </row>
    <row r="18" spans="1:25" ht="24" customHeight="1">
      <c r="A18" s="437"/>
      <c r="B18" s="5">
        <f>B17+1</f>
        <v>18</v>
      </c>
      <c r="C18" s="458"/>
      <c r="D18" s="459"/>
      <c r="E18" s="460"/>
      <c r="F18" s="174" t="s">
        <v>217</v>
      </c>
      <c r="G18" s="605"/>
      <c r="H18" s="255">
        <f t="shared" si="5"/>
        <v>0</v>
      </c>
      <c r="I18" s="255">
        <f t="shared" si="5"/>
        <v>0</v>
      </c>
      <c r="J18" s="255">
        <f t="shared" si="5"/>
        <v>0</v>
      </c>
      <c r="K18" s="255">
        <f t="shared" si="5"/>
        <v>0</v>
      </c>
      <c r="L18" s="255">
        <f t="shared" si="5"/>
        <v>0</v>
      </c>
      <c r="M18" s="255">
        <f t="shared" si="5"/>
        <v>0</v>
      </c>
      <c r="N18" s="255">
        <f t="shared" si="5"/>
        <v>0</v>
      </c>
      <c r="O18" s="255">
        <f t="shared" si="5"/>
        <v>0</v>
      </c>
      <c r="P18" s="255">
        <f t="shared" si="5"/>
        <v>0</v>
      </c>
      <c r="Q18" s="255">
        <f t="shared" si="5"/>
        <v>0</v>
      </c>
      <c r="R18" s="255">
        <f t="shared" si="5"/>
        <v>0</v>
      </c>
      <c r="S18" s="7" t="s">
        <v>365</v>
      </c>
      <c r="T18" s="92"/>
      <c r="U18" s="92"/>
      <c r="V18" s="92"/>
      <c r="W18" s="92"/>
      <c r="X18" s="92"/>
      <c r="Y18" s="92"/>
    </row>
    <row r="19" spans="1:25" ht="24" customHeight="1">
      <c r="A19" s="437"/>
      <c r="B19" s="5">
        <f t="shared" si="1"/>
        <v>19</v>
      </c>
      <c r="C19" s="458"/>
      <c r="D19" s="459"/>
      <c r="E19" s="460"/>
      <c r="F19" s="177" t="s">
        <v>218</v>
      </c>
      <c r="G19" s="606" t="s">
        <v>483</v>
      </c>
      <c r="H19" s="256" t="str">
        <f>G19</f>
        <v>NEJ</v>
      </c>
      <c r="I19" s="256" t="str">
        <f t="shared" si="5"/>
        <v>NEJ</v>
      </c>
      <c r="J19" s="256" t="str">
        <f t="shared" si="5"/>
        <v>NEJ</v>
      </c>
      <c r="K19" s="256" t="str">
        <f t="shared" si="5"/>
        <v>NEJ</v>
      </c>
      <c r="L19" s="256" t="str">
        <f t="shared" si="5"/>
        <v>NEJ</v>
      </c>
      <c r="M19" s="256" t="str">
        <f t="shared" si="5"/>
        <v>NEJ</v>
      </c>
      <c r="N19" s="256" t="str">
        <f t="shared" si="5"/>
        <v>NEJ</v>
      </c>
      <c r="O19" s="256" t="str">
        <f t="shared" si="5"/>
        <v>NEJ</v>
      </c>
      <c r="P19" s="256" t="str">
        <f t="shared" si="5"/>
        <v>NEJ</v>
      </c>
      <c r="Q19" s="256" t="str">
        <f t="shared" si="5"/>
        <v>NEJ</v>
      </c>
      <c r="R19" s="256" t="str">
        <f t="shared" si="5"/>
        <v>NEJ</v>
      </c>
      <c r="S19" s="7" t="s">
        <v>200</v>
      </c>
      <c r="T19" s="92"/>
      <c r="U19" s="92"/>
      <c r="V19" s="92"/>
      <c r="W19" s="92"/>
      <c r="X19" s="92"/>
      <c r="Y19" s="92"/>
    </row>
    <row r="20" spans="1:25" ht="14" customHeight="1">
      <c r="A20" s="437"/>
      <c r="B20" s="5">
        <f t="shared" si="1"/>
        <v>20</v>
      </c>
      <c r="C20" s="458"/>
      <c r="D20" s="454" t="s">
        <v>441</v>
      </c>
      <c r="E20" s="454" t="s">
        <v>441</v>
      </c>
      <c r="F20" s="178" t="s">
        <v>267</v>
      </c>
      <c r="G20" s="607"/>
      <c r="H20" s="257">
        <f>G20</f>
        <v>0</v>
      </c>
      <c r="I20" s="257">
        <f t="shared" si="5"/>
        <v>0</v>
      </c>
      <c r="J20" s="257">
        <f t="shared" si="5"/>
        <v>0</v>
      </c>
      <c r="K20" s="257">
        <f t="shared" si="5"/>
        <v>0</v>
      </c>
      <c r="L20" s="257">
        <f t="shared" si="5"/>
        <v>0</v>
      </c>
      <c r="M20" s="257">
        <f t="shared" si="5"/>
        <v>0</v>
      </c>
      <c r="N20" s="257">
        <f t="shared" si="5"/>
        <v>0</v>
      </c>
      <c r="O20" s="257">
        <f>N20</f>
        <v>0</v>
      </c>
      <c r="P20" s="257">
        <f t="shared" si="5"/>
        <v>0</v>
      </c>
      <c r="Q20" s="257">
        <f t="shared" si="5"/>
        <v>0</v>
      </c>
      <c r="R20" s="257">
        <f t="shared" si="5"/>
        <v>0</v>
      </c>
      <c r="S20" s="148" t="s">
        <v>165</v>
      </c>
      <c r="T20" s="92"/>
      <c r="U20" s="92"/>
      <c r="V20" s="92"/>
      <c r="W20" s="92"/>
      <c r="X20" s="92"/>
      <c r="Y20" s="92"/>
    </row>
    <row r="21" spans="1:25" ht="14" customHeight="1">
      <c r="A21" s="437"/>
      <c r="B21" s="5">
        <f t="shared" si="1"/>
        <v>21</v>
      </c>
      <c r="C21" s="458"/>
      <c r="D21" s="459"/>
      <c r="E21" s="460"/>
      <c r="F21" s="179" t="s">
        <v>231</v>
      </c>
      <c r="G21" s="608">
        <v>5</v>
      </c>
      <c r="H21" s="152"/>
      <c r="I21" s="152"/>
      <c r="J21" s="152"/>
      <c r="K21" s="152"/>
      <c r="L21" s="152"/>
      <c r="M21" s="152"/>
      <c r="N21" s="152"/>
      <c r="O21" s="152"/>
      <c r="P21" s="152">
        <v>9.9999999999999995E-8</v>
      </c>
      <c r="Q21" s="152"/>
      <c r="R21" s="152">
        <v>20</v>
      </c>
      <c r="S21" s="3" t="s">
        <v>232</v>
      </c>
      <c r="T21" s="92"/>
      <c r="U21" s="92"/>
      <c r="V21" s="92"/>
      <c r="W21" s="92"/>
      <c r="X21" s="92"/>
      <c r="Y21" s="92"/>
    </row>
    <row r="22" spans="1:25" ht="27" customHeight="1">
      <c r="A22" s="437"/>
      <c r="B22" s="5">
        <f t="shared" si="1"/>
        <v>22</v>
      </c>
      <c r="C22" s="458"/>
      <c r="D22" s="459"/>
      <c r="E22" s="460"/>
      <c r="F22" s="135" t="s">
        <v>240</v>
      </c>
      <c r="G22" s="609"/>
      <c r="H22" s="209"/>
      <c r="I22" s="209"/>
      <c r="J22" s="209"/>
      <c r="K22" s="209"/>
      <c r="L22" s="209"/>
      <c r="M22" s="209"/>
      <c r="N22" s="209"/>
      <c r="O22" s="209"/>
      <c r="P22" s="209"/>
      <c r="Q22" s="209"/>
      <c r="R22" s="209"/>
      <c r="S22" s="3" t="s">
        <v>517</v>
      </c>
      <c r="T22" s="92"/>
      <c r="U22" s="92"/>
      <c r="V22" s="92"/>
      <c r="W22" s="92"/>
      <c r="X22" s="92"/>
      <c r="Y22" s="92"/>
    </row>
    <row r="23" spans="1:25" ht="14" customHeight="1">
      <c r="A23" s="438"/>
      <c r="B23" s="5">
        <f t="shared" si="1"/>
        <v>23</v>
      </c>
      <c r="C23" s="458"/>
      <c r="D23" s="459"/>
      <c r="E23" s="460"/>
      <c r="F23" s="180" t="s">
        <v>369</v>
      </c>
      <c r="G23" s="610"/>
      <c r="H23" s="258">
        <f t="shared" ref="H23:O23" si="6">G23</f>
        <v>0</v>
      </c>
      <c r="I23" s="258">
        <f t="shared" si="6"/>
        <v>0</v>
      </c>
      <c r="J23" s="258">
        <f t="shared" si="6"/>
        <v>0</v>
      </c>
      <c r="K23" s="258">
        <f t="shared" si="6"/>
        <v>0</v>
      </c>
      <c r="L23" s="258">
        <f t="shared" si="6"/>
        <v>0</v>
      </c>
      <c r="M23" s="258">
        <f t="shared" si="6"/>
        <v>0</v>
      </c>
      <c r="N23" s="258">
        <f t="shared" si="6"/>
        <v>0</v>
      </c>
      <c r="O23" s="258">
        <f t="shared" si="6"/>
        <v>0</v>
      </c>
      <c r="P23" s="166"/>
      <c r="Q23" s="154"/>
      <c r="R23" s="154"/>
      <c r="S23" s="150" t="s">
        <v>270</v>
      </c>
      <c r="T23" s="92"/>
      <c r="U23" s="92"/>
      <c r="V23" s="92"/>
      <c r="W23" s="92"/>
      <c r="X23" s="92"/>
      <c r="Y23" s="92"/>
    </row>
    <row r="24" spans="1:25" ht="14" customHeight="1">
      <c r="A24" s="438"/>
      <c r="B24" s="5">
        <f t="shared" si="1"/>
        <v>24</v>
      </c>
      <c r="C24" s="461"/>
      <c r="D24" s="462"/>
      <c r="E24" s="463"/>
      <c r="F24" s="181" t="s">
        <v>447</v>
      </c>
      <c r="G24" s="143" t="s">
        <v>221</v>
      </c>
      <c r="H24" s="155"/>
      <c r="I24" s="155"/>
      <c r="J24" s="155"/>
      <c r="K24" s="155"/>
      <c r="L24" s="155"/>
      <c r="M24" s="155"/>
      <c r="N24" s="155"/>
      <c r="O24" s="167"/>
      <c r="P24" s="420"/>
      <c r="Q24" s="259">
        <f>P24</f>
        <v>0</v>
      </c>
      <c r="R24" s="259">
        <f>Q24</f>
        <v>0</v>
      </c>
      <c r="S24" s="147" t="s">
        <v>269</v>
      </c>
      <c r="T24" s="92"/>
      <c r="U24" s="92"/>
      <c r="V24" s="92"/>
      <c r="W24" s="92"/>
      <c r="X24" s="92"/>
      <c r="Y24" s="92"/>
    </row>
    <row r="25" spans="1:25" ht="14" customHeight="1">
      <c r="A25" s="438"/>
      <c r="B25" s="5">
        <f t="shared" si="1"/>
        <v>25</v>
      </c>
      <c r="C25" s="455"/>
      <c r="D25" s="456"/>
      <c r="E25" s="457"/>
      <c r="F25" s="182" t="s">
        <v>211</v>
      </c>
      <c r="G25" s="611"/>
      <c r="H25" s="129"/>
      <c r="I25" s="129"/>
      <c r="J25" s="129"/>
      <c r="K25" s="129"/>
      <c r="L25" s="129"/>
      <c r="M25" s="129"/>
      <c r="N25" s="129"/>
      <c r="O25" s="129"/>
      <c r="P25" s="129"/>
      <c r="Q25" s="129"/>
      <c r="R25" s="129"/>
      <c r="S25" s="148" t="s">
        <v>550</v>
      </c>
      <c r="T25" s="92"/>
      <c r="U25" s="92"/>
      <c r="V25" s="92"/>
      <c r="W25" s="92"/>
      <c r="X25" s="92"/>
      <c r="Y25" s="92"/>
    </row>
    <row r="26" spans="1:25" ht="14" customHeight="1" thickBot="1">
      <c r="A26" s="438"/>
      <c r="B26" s="5">
        <f t="shared" si="1"/>
        <v>26</v>
      </c>
      <c r="C26" s="471"/>
      <c r="D26" s="472"/>
      <c r="E26" s="473"/>
      <c r="F26" s="183" t="s">
        <v>212</v>
      </c>
      <c r="G26" s="612"/>
      <c r="H26" s="260">
        <f>G26</f>
        <v>0</v>
      </c>
      <c r="I26" s="260">
        <f t="shared" ref="I26:R27" si="7">H26</f>
        <v>0</v>
      </c>
      <c r="J26" s="260">
        <f t="shared" si="7"/>
        <v>0</v>
      </c>
      <c r="K26" s="260">
        <f t="shared" si="7"/>
        <v>0</v>
      </c>
      <c r="L26" s="260">
        <f t="shared" si="7"/>
        <v>0</v>
      </c>
      <c r="M26" s="260">
        <f t="shared" si="7"/>
        <v>0</v>
      </c>
      <c r="N26" s="260">
        <f t="shared" si="7"/>
        <v>0</v>
      </c>
      <c r="O26" s="260">
        <f t="shared" si="7"/>
        <v>0</v>
      </c>
      <c r="P26" s="260">
        <f t="shared" si="7"/>
        <v>0</v>
      </c>
      <c r="Q26" s="260">
        <f t="shared" si="7"/>
        <v>0</v>
      </c>
      <c r="R26" s="260">
        <f t="shared" si="7"/>
        <v>0</v>
      </c>
      <c r="S26" s="3" t="s">
        <v>23</v>
      </c>
      <c r="T26" s="92"/>
      <c r="U26" s="92"/>
      <c r="V26" s="92"/>
      <c r="W26" s="92"/>
      <c r="X26" s="92"/>
      <c r="Y26" s="92"/>
    </row>
    <row r="27" spans="1:25" ht="14" customHeight="1">
      <c r="A27" s="438"/>
      <c r="B27" s="470">
        <f t="shared" si="1"/>
        <v>27</v>
      </c>
      <c r="C27" s="639" t="s">
        <v>456</v>
      </c>
      <c r="D27" s="477">
        <v>2014</v>
      </c>
      <c r="E27" s="478">
        <v>2015</v>
      </c>
      <c r="F27" s="182" t="s">
        <v>213</v>
      </c>
      <c r="G27" s="613"/>
      <c r="H27" s="261">
        <f>G27</f>
        <v>0</v>
      </c>
      <c r="I27" s="261">
        <f t="shared" si="7"/>
        <v>0</v>
      </c>
      <c r="J27" s="261">
        <f t="shared" si="7"/>
        <v>0</v>
      </c>
      <c r="K27" s="261">
        <f t="shared" si="7"/>
        <v>0</v>
      </c>
      <c r="L27" s="261">
        <f t="shared" si="7"/>
        <v>0</v>
      </c>
      <c r="M27" s="261">
        <f t="shared" si="7"/>
        <v>0</v>
      </c>
      <c r="N27" s="261">
        <f t="shared" si="7"/>
        <v>0</v>
      </c>
      <c r="O27" s="261">
        <f t="shared" si="7"/>
        <v>0</v>
      </c>
      <c r="P27" s="261">
        <f t="shared" si="7"/>
        <v>0</v>
      </c>
      <c r="Q27" s="261">
        <f t="shared" si="7"/>
        <v>0</v>
      </c>
      <c r="R27" s="261">
        <f t="shared" si="7"/>
        <v>0</v>
      </c>
      <c r="S27" s="148"/>
      <c r="T27" s="92"/>
      <c r="U27" s="92"/>
      <c r="V27" s="92"/>
      <c r="W27" s="92"/>
      <c r="X27" s="92"/>
      <c r="Y27" s="92"/>
    </row>
    <row r="28" spans="1:25" ht="12" customHeight="1">
      <c r="A28" s="438"/>
      <c r="B28" s="470">
        <f t="shared" si="1"/>
        <v>28</v>
      </c>
      <c r="C28" s="640"/>
      <c r="D28" s="595">
        <v>2.1</v>
      </c>
      <c r="E28" s="480"/>
      <c r="F28" s="485" t="s">
        <v>454</v>
      </c>
      <c r="G28" s="614"/>
      <c r="H28" s="488"/>
      <c r="I28" s="488"/>
      <c r="J28" s="488"/>
      <c r="K28" s="488"/>
      <c r="L28" s="488"/>
      <c r="M28" s="488"/>
      <c r="N28" s="488"/>
      <c r="O28" s="488"/>
      <c r="P28" s="488"/>
      <c r="Q28" s="488"/>
      <c r="R28" s="488"/>
      <c r="S28" s="7" t="s">
        <v>289</v>
      </c>
      <c r="T28" s="92"/>
      <c r="U28" s="92"/>
      <c r="V28" s="92"/>
      <c r="W28" s="92"/>
      <c r="X28" s="92"/>
      <c r="Y28" s="92"/>
    </row>
    <row r="29" spans="1:25" ht="12" customHeight="1" thickBot="1">
      <c r="A29" s="438"/>
      <c r="B29" s="470">
        <f t="shared" si="1"/>
        <v>29</v>
      </c>
      <c r="C29" s="641"/>
      <c r="D29" s="596">
        <v>3.73</v>
      </c>
      <c r="E29" s="481"/>
      <c r="F29" s="486" t="s">
        <v>455</v>
      </c>
      <c r="G29" s="615"/>
      <c r="H29" s="489"/>
      <c r="I29" s="489"/>
      <c r="J29" s="489"/>
      <c r="K29" s="489"/>
      <c r="L29" s="489"/>
      <c r="M29" s="489"/>
      <c r="N29" s="489"/>
      <c r="O29" s="489"/>
      <c r="P29" s="489"/>
      <c r="Q29" s="489"/>
      <c r="R29" s="489"/>
      <c r="S29" s="7" t="s">
        <v>289</v>
      </c>
      <c r="T29" s="92"/>
      <c r="U29" s="92"/>
      <c r="V29" s="92"/>
      <c r="W29" s="92"/>
      <c r="X29" s="92"/>
      <c r="Y29" s="92"/>
    </row>
    <row r="30" spans="1:25" ht="12" customHeight="1">
      <c r="A30" s="438"/>
      <c r="B30" s="5">
        <f t="shared" si="1"/>
        <v>30</v>
      </c>
      <c r="C30" s="474"/>
      <c r="D30" s="475"/>
      <c r="E30" s="476"/>
      <c r="F30" s="185" t="s">
        <v>457</v>
      </c>
      <c r="G30" s="616"/>
      <c r="H30" s="237"/>
      <c r="I30" s="237"/>
      <c r="J30" s="237"/>
      <c r="K30" s="237"/>
      <c r="L30" s="237"/>
      <c r="M30" s="237"/>
      <c r="N30" s="237"/>
      <c r="O30" s="237"/>
      <c r="P30" s="237"/>
      <c r="Q30" s="237"/>
      <c r="R30" s="237"/>
      <c r="S30" s="7" t="s">
        <v>289</v>
      </c>
      <c r="T30" s="92"/>
      <c r="U30" s="92"/>
      <c r="V30" s="92"/>
      <c r="W30" s="92"/>
      <c r="X30" s="92"/>
      <c r="Y30" s="92"/>
    </row>
    <row r="31" spans="1:25" ht="12" customHeight="1">
      <c r="A31" s="438"/>
      <c r="B31" s="5">
        <f t="shared" si="1"/>
        <v>31</v>
      </c>
      <c r="C31" s="451"/>
      <c r="D31" s="452"/>
      <c r="E31" s="453"/>
      <c r="F31" s="185" t="s">
        <v>140</v>
      </c>
      <c r="G31" s="616"/>
      <c r="H31" s="236"/>
      <c r="I31" s="236"/>
      <c r="J31" s="236"/>
      <c r="K31" s="236"/>
      <c r="L31" s="236"/>
      <c r="M31" s="236"/>
      <c r="N31" s="236"/>
      <c r="O31" s="237"/>
      <c r="P31" s="237"/>
      <c r="Q31" s="237"/>
      <c r="R31" s="237"/>
      <c r="S31" s="7" t="s">
        <v>289</v>
      </c>
      <c r="T31" s="92"/>
      <c r="U31" s="92"/>
      <c r="V31" s="92"/>
      <c r="W31" s="92"/>
      <c r="X31" s="92"/>
      <c r="Y31" s="92"/>
    </row>
    <row r="32" spans="1:25" ht="12" customHeight="1">
      <c r="A32" s="438"/>
      <c r="B32" s="5">
        <f t="shared" si="1"/>
        <v>32</v>
      </c>
      <c r="C32" s="451"/>
      <c r="D32" s="452"/>
      <c r="E32" s="453"/>
      <c r="F32" s="487" t="s">
        <v>453</v>
      </c>
      <c r="G32" s="616"/>
      <c r="H32" s="237"/>
      <c r="I32" s="237"/>
      <c r="J32" s="237"/>
      <c r="K32" s="237"/>
      <c r="L32" s="237"/>
      <c r="M32" s="237"/>
      <c r="N32" s="237"/>
      <c r="O32" s="237"/>
      <c r="P32" s="237"/>
      <c r="Q32" s="237"/>
      <c r="R32" s="237"/>
      <c r="S32" s="3" t="s">
        <v>289</v>
      </c>
      <c r="T32" s="92"/>
      <c r="U32" s="92"/>
      <c r="V32" s="92"/>
      <c r="W32" s="92"/>
      <c r="X32" s="92"/>
      <c r="Y32" s="92"/>
    </row>
    <row r="33" spans="1:25" ht="12" customHeight="1">
      <c r="A33" s="438"/>
      <c r="B33" s="5">
        <f t="shared" si="1"/>
        <v>33</v>
      </c>
      <c r="C33" s="451"/>
      <c r="D33" s="452"/>
      <c r="E33" s="453"/>
      <c r="F33" s="487" t="s">
        <v>451</v>
      </c>
      <c r="G33" s="616"/>
      <c r="H33" s="237"/>
      <c r="I33" s="237"/>
      <c r="J33" s="237"/>
      <c r="K33" s="237"/>
      <c r="L33" s="237"/>
      <c r="M33" s="237"/>
      <c r="N33" s="237"/>
      <c r="O33" s="237"/>
      <c r="P33" s="237"/>
      <c r="Q33" s="237"/>
      <c r="R33" s="237"/>
      <c r="S33" s="7" t="s">
        <v>542</v>
      </c>
      <c r="T33" s="92"/>
      <c r="U33" s="92"/>
      <c r="V33" s="92"/>
      <c r="W33" s="92"/>
      <c r="X33" s="92"/>
      <c r="Y33" s="92"/>
    </row>
    <row r="34" spans="1:25" ht="12" customHeight="1">
      <c r="A34" s="438"/>
      <c r="B34" s="5">
        <f t="shared" si="1"/>
        <v>34</v>
      </c>
      <c r="C34" s="451"/>
      <c r="D34" s="452"/>
      <c r="E34" s="453"/>
      <c r="F34" s="487" t="s">
        <v>452</v>
      </c>
      <c r="G34" s="616"/>
      <c r="H34" s="237"/>
      <c r="I34" s="237"/>
      <c r="J34" s="237"/>
      <c r="K34" s="237"/>
      <c r="L34" s="237"/>
      <c r="M34" s="237"/>
      <c r="N34" s="237"/>
      <c r="O34" s="237"/>
      <c r="P34" s="237"/>
      <c r="Q34" s="237"/>
      <c r="R34" s="237"/>
      <c r="S34" s="7" t="s">
        <v>543</v>
      </c>
      <c r="T34" s="92"/>
      <c r="U34" s="92"/>
      <c r="V34" s="92"/>
      <c r="W34" s="92"/>
      <c r="X34" s="92"/>
      <c r="Y34" s="92"/>
    </row>
    <row r="35" spans="1:25" ht="12" customHeight="1">
      <c r="A35" s="438"/>
      <c r="B35" s="5">
        <f t="shared" si="1"/>
        <v>35</v>
      </c>
      <c r="C35" s="451"/>
      <c r="D35" s="452"/>
      <c r="E35" s="453"/>
      <c r="F35" s="487" t="s">
        <v>541</v>
      </c>
      <c r="G35" s="616"/>
      <c r="H35" s="237"/>
      <c r="I35" s="237"/>
      <c r="J35" s="237"/>
      <c r="K35" s="237"/>
      <c r="L35" s="237"/>
      <c r="M35" s="237"/>
      <c r="N35" s="237"/>
      <c r="O35" s="237"/>
      <c r="P35" s="237"/>
      <c r="Q35" s="237"/>
      <c r="R35" s="237"/>
      <c r="S35" s="7" t="s">
        <v>545</v>
      </c>
      <c r="T35" s="92"/>
      <c r="U35" s="92"/>
      <c r="V35" s="92"/>
      <c r="W35" s="92"/>
      <c r="X35" s="92"/>
      <c r="Y35" s="92"/>
    </row>
    <row r="36" spans="1:25" ht="12" customHeight="1">
      <c r="A36" s="438"/>
      <c r="B36" s="5">
        <f t="shared" si="1"/>
        <v>36</v>
      </c>
      <c r="C36" s="451"/>
      <c r="D36" s="452"/>
      <c r="E36" s="453"/>
      <c r="F36" s="185" t="s">
        <v>546</v>
      </c>
      <c r="G36" s="616"/>
      <c r="H36" s="237"/>
      <c r="I36" s="237"/>
      <c r="J36" s="237"/>
      <c r="K36" s="237"/>
      <c r="L36" s="237"/>
      <c r="M36" s="237"/>
      <c r="N36" s="237"/>
      <c r="O36" s="237"/>
      <c r="P36" s="237"/>
      <c r="Q36" s="237"/>
      <c r="R36" s="237"/>
      <c r="S36" s="7" t="s">
        <v>77</v>
      </c>
      <c r="T36" s="92"/>
      <c r="U36" s="92"/>
      <c r="V36" s="92"/>
      <c r="W36" s="92"/>
      <c r="X36" s="92"/>
      <c r="Y36" s="92"/>
    </row>
    <row r="37" spans="1:25" ht="12" customHeight="1">
      <c r="A37" s="438"/>
      <c r="B37" s="5">
        <f t="shared" si="1"/>
        <v>37</v>
      </c>
      <c r="C37" s="451"/>
      <c r="D37" s="452"/>
      <c r="E37" s="453"/>
      <c r="F37" s="185" t="s">
        <v>159</v>
      </c>
      <c r="G37" s="616"/>
      <c r="H37" s="237"/>
      <c r="I37" s="237"/>
      <c r="J37" s="237"/>
      <c r="K37" s="237"/>
      <c r="L37" s="237"/>
      <c r="M37" s="237"/>
      <c r="N37" s="237"/>
      <c r="O37" s="237"/>
      <c r="P37" s="237"/>
      <c r="Q37" s="237"/>
      <c r="R37" s="237"/>
      <c r="S37" s="7" t="s">
        <v>518</v>
      </c>
      <c r="T37" s="92"/>
      <c r="U37" s="92"/>
      <c r="V37" s="92"/>
      <c r="W37" s="92"/>
      <c r="X37" s="92"/>
      <c r="Y37" s="92"/>
    </row>
    <row r="38" spans="1:25" ht="12" customHeight="1">
      <c r="A38" s="438"/>
      <c r="B38" s="5">
        <f t="shared" si="1"/>
        <v>38</v>
      </c>
      <c r="C38" s="451"/>
      <c r="D38" s="452"/>
      <c r="E38" s="453"/>
      <c r="F38" s="185" t="s">
        <v>484</v>
      </c>
      <c r="G38" s="238" t="s">
        <v>448</v>
      </c>
      <c r="H38" s="239"/>
      <c r="I38" s="239"/>
      <c r="J38" s="239"/>
      <c r="K38" s="239"/>
      <c r="L38" s="239"/>
      <c r="M38" s="239"/>
      <c r="N38" s="239"/>
      <c r="O38" s="239"/>
      <c r="P38" s="262">
        <f>IF(P21&gt;0,ROUND(1.5%*S96,2),0)</f>
        <v>0</v>
      </c>
      <c r="Q38" s="262">
        <f>IF(AND(Q21&gt;0,P38=0),ROUND(1.5%*S96,2),0)</f>
        <v>0</v>
      </c>
      <c r="R38" s="262">
        <f>IF(AND(R21&gt;0,SUM(P38:Q38)=0),ROUND(1.5%*S96,2),0)</f>
        <v>0</v>
      </c>
      <c r="S38" s="7" t="s">
        <v>560</v>
      </c>
      <c r="T38" s="92"/>
      <c r="U38" s="92"/>
      <c r="V38" s="92"/>
      <c r="W38" s="92"/>
      <c r="X38" s="92"/>
      <c r="Y38" s="92"/>
    </row>
    <row r="39" spans="1:25" ht="12" customHeight="1">
      <c r="A39" s="438"/>
      <c r="B39" s="5">
        <f t="shared" si="1"/>
        <v>39</v>
      </c>
      <c r="C39" s="454"/>
      <c r="D39" s="452"/>
      <c r="E39" s="453"/>
      <c r="F39" s="186" t="s">
        <v>145</v>
      </c>
      <c r="G39" s="616"/>
      <c r="H39" s="237"/>
      <c r="I39" s="237"/>
      <c r="J39" s="237"/>
      <c r="K39" s="237"/>
      <c r="L39" s="237"/>
      <c r="M39" s="237"/>
      <c r="N39" s="237"/>
      <c r="O39" s="237"/>
      <c r="P39" s="237"/>
      <c r="Q39" s="237"/>
      <c r="R39" s="237"/>
      <c r="S39" s="89"/>
      <c r="T39" s="92"/>
      <c r="U39" s="92"/>
      <c r="V39" s="92"/>
      <c r="W39" s="92"/>
      <c r="X39" s="92"/>
      <c r="Y39" s="92"/>
    </row>
    <row r="40" spans="1:25" ht="12" customHeight="1">
      <c r="A40" s="438"/>
      <c r="B40" s="5">
        <f t="shared" si="1"/>
        <v>40</v>
      </c>
      <c r="C40" s="454"/>
      <c r="D40" s="452"/>
      <c r="E40" s="453"/>
      <c r="F40" s="186" t="s">
        <v>160</v>
      </c>
      <c r="G40" s="616"/>
      <c r="H40" s="237"/>
      <c r="I40" s="237"/>
      <c r="J40" s="237"/>
      <c r="K40" s="237"/>
      <c r="L40" s="237"/>
      <c r="M40" s="237"/>
      <c r="N40" s="237"/>
      <c r="O40" s="237"/>
      <c r="P40" s="237"/>
      <c r="Q40" s="237"/>
      <c r="R40" s="237"/>
      <c r="S40" s="89"/>
      <c r="T40" s="92"/>
      <c r="U40" s="92"/>
      <c r="V40" s="92"/>
      <c r="W40" s="92"/>
      <c r="X40" s="92"/>
      <c r="Y40" s="92"/>
    </row>
    <row r="41" spans="1:25" ht="12" customHeight="1">
      <c r="A41" s="438"/>
      <c r="B41" s="5">
        <f t="shared" si="1"/>
        <v>41</v>
      </c>
      <c r="C41" s="451"/>
      <c r="D41" s="452"/>
      <c r="E41" s="453"/>
      <c r="F41" s="186" t="s">
        <v>143</v>
      </c>
      <c r="G41" s="616"/>
      <c r="H41" s="237"/>
      <c r="I41" s="237"/>
      <c r="J41" s="237"/>
      <c r="K41" s="237"/>
      <c r="L41" s="237"/>
      <c r="M41" s="237"/>
      <c r="N41" s="237"/>
      <c r="O41" s="237"/>
      <c r="P41" s="237"/>
      <c r="Q41" s="237"/>
      <c r="R41" s="237"/>
      <c r="S41" s="89"/>
      <c r="T41" s="92"/>
      <c r="U41" s="92"/>
      <c r="V41" s="92"/>
      <c r="W41" s="92"/>
      <c r="X41" s="92"/>
      <c r="Y41" s="92"/>
    </row>
    <row r="42" spans="1:25" ht="12" customHeight="1">
      <c r="A42" s="438"/>
      <c r="B42" s="5">
        <f t="shared" si="1"/>
        <v>42</v>
      </c>
      <c r="C42" s="451"/>
      <c r="D42" s="452"/>
      <c r="E42" s="453"/>
      <c r="F42" s="186" t="s">
        <v>146</v>
      </c>
      <c r="G42" s="616"/>
      <c r="H42" s="237"/>
      <c r="I42" s="237"/>
      <c r="J42" s="237"/>
      <c r="K42" s="237"/>
      <c r="L42" s="237"/>
      <c r="M42" s="237"/>
      <c r="N42" s="237"/>
      <c r="O42" s="237"/>
      <c r="P42" s="237"/>
      <c r="Q42" s="237"/>
      <c r="R42" s="237"/>
      <c r="S42" s="89"/>
      <c r="T42" s="92"/>
      <c r="U42" s="92"/>
      <c r="V42" s="92"/>
      <c r="W42" s="92"/>
      <c r="X42" s="92"/>
      <c r="Y42" s="92"/>
    </row>
    <row r="43" spans="1:25" ht="12" customHeight="1">
      <c r="A43" s="439"/>
      <c r="B43" s="5">
        <f t="shared" si="1"/>
        <v>43</v>
      </c>
      <c r="C43" s="451"/>
      <c r="D43" s="452"/>
      <c r="E43" s="453"/>
      <c r="F43" s="187" t="s">
        <v>141</v>
      </c>
      <c r="G43" s="617"/>
      <c r="H43" s="241"/>
      <c r="I43" s="241"/>
      <c r="J43" s="241"/>
      <c r="K43" s="241"/>
      <c r="L43" s="241"/>
      <c r="M43" s="241"/>
      <c r="N43" s="241"/>
      <c r="O43" s="241"/>
      <c r="P43" s="241"/>
      <c r="Q43" s="241"/>
      <c r="R43" s="241"/>
      <c r="S43" s="149"/>
      <c r="T43" s="92"/>
      <c r="U43" s="92"/>
      <c r="V43" s="92"/>
      <c r="W43" s="92"/>
      <c r="X43" s="92"/>
      <c r="Y43" s="92"/>
    </row>
    <row r="44" spans="1:25" ht="32" customHeight="1">
      <c r="A44" s="440" t="str">
        <f>A2</f>
        <v>jan-juli</v>
      </c>
      <c r="B44" s="128">
        <f t="shared" si="1"/>
        <v>44</v>
      </c>
      <c r="C44" s="464"/>
      <c r="D44" s="75"/>
      <c r="E44" s="75"/>
      <c r="F44" s="188" t="s">
        <v>227</v>
      </c>
      <c r="G44" s="214" t="str">
        <f t="shared" ref="G44:R44" si="8">G2</f>
        <v>AUG 14</v>
      </c>
      <c r="H44" s="78" t="str">
        <f t="shared" si="8"/>
        <v>SEP14</v>
      </c>
      <c r="I44" s="78" t="str">
        <f t="shared" si="8"/>
        <v>OKT 14</v>
      </c>
      <c r="J44" s="78" t="str">
        <f t="shared" si="8"/>
        <v>NOV 14</v>
      </c>
      <c r="K44" s="78" t="str">
        <f t="shared" si="8"/>
        <v>DEC 14</v>
      </c>
      <c r="L44" s="78" t="str">
        <f t="shared" si="8"/>
        <v>JAN 15</v>
      </c>
      <c r="M44" s="78" t="str">
        <f t="shared" si="8"/>
        <v>FEB 15</v>
      </c>
      <c r="N44" s="78" t="str">
        <f t="shared" si="8"/>
        <v>MAR 15</v>
      </c>
      <c r="O44" s="78" t="str">
        <f t="shared" si="8"/>
        <v>APR 15</v>
      </c>
      <c r="P44" s="78" t="str">
        <f t="shared" si="8"/>
        <v>MAJ15</v>
      </c>
      <c r="Q44" s="78" t="str">
        <f t="shared" si="8"/>
        <v>JUN 15</v>
      </c>
      <c r="R44" s="78" t="str">
        <f t="shared" si="8"/>
        <v>JUL 15</v>
      </c>
      <c r="S44" s="83" t="s">
        <v>122</v>
      </c>
      <c r="T44" s="92"/>
      <c r="U44" s="92"/>
      <c r="V44" s="92"/>
      <c r="W44" s="92"/>
      <c r="X44" s="92"/>
      <c r="Y44" s="92"/>
    </row>
    <row r="45" spans="1:25">
      <c r="A45" s="441"/>
      <c r="B45" s="128">
        <f t="shared" si="1"/>
        <v>45</v>
      </c>
      <c r="C45" s="465">
        <v>1</v>
      </c>
      <c r="D45" s="1">
        <v>1</v>
      </c>
      <c r="E45" s="1">
        <v>1</v>
      </c>
      <c r="F45" s="162" t="s">
        <v>94</v>
      </c>
      <c r="G45" s="108">
        <f t="shared" ref="G45:R45" si="9">ROUND(IF(G8&gt;0,ROUND((ROUND(VLOOKUP(G4,basistabel12,2,0)*G6,0))/12,2),0)*G8*G3,2)</f>
        <v>0</v>
      </c>
      <c r="H45" s="108">
        <f t="shared" si="9"/>
        <v>0</v>
      </c>
      <c r="I45" s="108">
        <f t="shared" si="9"/>
        <v>0</v>
      </c>
      <c r="J45" s="108">
        <f t="shared" si="9"/>
        <v>0</v>
      </c>
      <c r="K45" s="108">
        <f t="shared" si="9"/>
        <v>0</v>
      </c>
      <c r="L45" s="108">
        <f t="shared" si="9"/>
        <v>0</v>
      </c>
      <c r="M45" s="108">
        <f t="shared" si="9"/>
        <v>0</v>
      </c>
      <c r="N45" s="108">
        <f t="shared" si="9"/>
        <v>0</v>
      </c>
      <c r="O45" s="108">
        <f t="shared" si="9"/>
        <v>0</v>
      </c>
      <c r="P45" s="108">
        <f t="shared" si="9"/>
        <v>0</v>
      </c>
      <c r="Q45" s="108">
        <f t="shared" si="9"/>
        <v>0</v>
      </c>
      <c r="R45" s="108">
        <f t="shared" si="9"/>
        <v>0</v>
      </c>
      <c r="S45" s="122">
        <f t="shared" ref="S45:S89" si="10">SUM(G45:R45)</f>
        <v>0</v>
      </c>
      <c r="T45" s="92"/>
      <c r="U45" s="92"/>
      <c r="V45" s="92"/>
      <c r="W45" s="92"/>
      <c r="X45" s="92"/>
      <c r="Y45" s="92"/>
    </row>
    <row r="46" spans="1:25">
      <c r="A46" s="441"/>
      <c r="B46" s="23">
        <f>B45+1</f>
        <v>46</v>
      </c>
      <c r="C46" s="465"/>
      <c r="D46" s="1">
        <v>1</v>
      </c>
      <c r="E46" s="1">
        <v>0</v>
      </c>
      <c r="F46" s="163" t="s">
        <v>95</v>
      </c>
      <c r="G46" s="110">
        <f t="shared" ref="G46:R46" si="11">ROUND(IF(G8&gt;0,ROUND((VLOOKUP(G4,omraadetabel12,G7,0))/12,2),0)*G8*G3,2)</f>
        <v>0</v>
      </c>
      <c r="H46" s="110">
        <f t="shared" si="11"/>
        <v>0</v>
      </c>
      <c r="I46" s="110">
        <f t="shared" si="11"/>
        <v>0</v>
      </c>
      <c r="J46" s="110">
        <f t="shared" si="11"/>
        <v>0</v>
      </c>
      <c r="K46" s="110">
        <f t="shared" si="11"/>
        <v>0</v>
      </c>
      <c r="L46" s="110">
        <f t="shared" si="11"/>
        <v>0</v>
      </c>
      <c r="M46" s="110">
        <f t="shared" si="11"/>
        <v>0</v>
      </c>
      <c r="N46" s="110">
        <f t="shared" si="11"/>
        <v>0</v>
      </c>
      <c r="O46" s="110">
        <f t="shared" si="11"/>
        <v>0</v>
      </c>
      <c r="P46" s="110">
        <f t="shared" si="11"/>
        <v>0</v>
      </c>
      <c r="Q46" s="110">
        <f t="shared" si="11"/>
        <v>0</v>
      </c>
      <c r="R46" s="110">
        <f t="shared" si="11"/>
        <v>0</v>
      </c>
      <c r="S46" s="111">
        <f t="shared" si="10"/>
        <v>0</v>
      </c>
      <c r="T46" s="92"/>
      <c r="U46" s="92"/>
      <c r="V46" s="92"/>
      <c r="W46" s="92"/>
      <c r="X46" s="92"/>
      <c r="Y46" s="92"/>
    </row>
    <row r="47" spans="1:25">
      <c r="A47" s="441"/>
      <c r="B47" s="23">
        <f t="shared" ref="B47:B89" si="12">B46+1</f>
        <v>47</v>
      </c>
      <c r="C47" s="465">
        <v>1</v>
      </c>
      <c r="D47" s="1">
        <v>0</v>
      </c>
      <c r="E47" s="1">
        <v>1</v>
      </c>
      <c r="F47" s="163" t="s">
        <v>183</v>
      </c>
      <c r="G47" s="110">
        <f t="shared" ref="G47:R47" si="13">ROUND(SUM(G110:G113)*G3,2)</f>
        <v>0</v>
      </c>
      <c r="H47" s="110">
        <f t="shared" si="13"/>
        <v>0</v>
      </c>
      <c r="I47" s="110">
        <f t="shared" si="13"/>
        <v>0</v>
      </c>
      <c r="J47" s="110">
        <f t="shared" si="13"/>
        <v>0</v>
      </c>
      <c r="K47" s="110">
        <f t="shared" si="13"/>
        <v>0</v>
      </c>
      <c r="L47" s="110">
        <f t="shared" si="13"/>
        <v>0</v>
      </c>
      <c r="M47" s="110">
        <f t="shared" si="13"/>
        <v>0</v>
      </c>
      <c r="N47" s="110">
        <f t="shared" si="13"/>
        <v>0</v>
      </c>
      <c r="O47" s="110">
        <f t="shared" si="13"/>
        <v>0</v>
      </c>
      <c r="P47" s="110">
        <f t="shared" si="13"/>
        <v>0</v>
      </c>
      <c r="Q47" s="110">
        <f t="shared" si="13"/>
        <v>0</v>
      </c>
      <c r="R47" s="110">
        <f t="shared" si="13"/>
        <v>0</v>
      </c>
      <c r="S47" s="111">
        <f t="shared" si="10"/>
        <v>0</v>
      </c>
      <c r="T47" s="92"/>
      <c r="U47" s="92"/>
      <c r="V47" s="92"/>
      <c r="W47" s="92"/>
      <c r="X47" s="92"/>
      <c r="Y47" s="92"/>
    </row>
    <row r="48" spans="1:25">
      <c r="A48" s="441"/>
      <c r="B48" s="23">
        <f t="shared" si="12"/>
        <v>48</v>
      </c>
      <c r="C48" s="465">
        <v>1</v>
      </c>
      <c r="D48" s="1">
        <v>0</v>
      </c>
      <c r="E48" s="1">
        <v>1</v>
      </c>
      <c r="F48" s="163" t="s">
        <v>184</v>
      </c>
      <c r="G48" s="110">
        <f t="shared" ref="G48:R48" si="14">ROUND(G10*G$6*G3/12,2)</f>
        <v>0</v>
      </c>
      <c r="H48" s="110">
        <f t="shared" si="14"/>
        <v>0</v>
      </c>
      <c r="I48" s="110">
        <f t="shared" si="14"/>
        <v>0</v>
      </c>
      <c r="J48" s="110">
        <f t="shared" si="14"/>
        <v>0</v>
      </c>
      <c r="K48" s="110">
        <f t="shared" si="14"/>
        <v>0</v>
      </c>
      <c r="L48" s="110">
        <f t="shared" si="14"/>
        <v>0</v>
      </c>
      <c r="M48" s="110">
        <f t="shared" si="14"/>
        <v>0</v>
      </c>
      <c r="N48" s="110">
        <f t="shared" si="14"/>
        <v>0</v>
      </c>
      <c r="O48" s="110">
        <f t="shared" si="14"/>
        <v>0</v>
      </c>
      <c r="P48" s="110">
        <f t="shared" si="14"/>
        <v>0</v>
      </c>
      <c r="Q48" s="110">
        <f t="shared" si="14"/>
        <v>0</v>
      </c>
      <c r="R48" s="110">
        <f t="shared" si="14"/>
        <v>0</v>
      </c>
      <c r="S48" s="111">
        <f t="shared" si="10"/>
        <v>0</v>
      </c>
      <c r="T48" s="92"/>
      <c r="U48" s="92"/>
      <c r="V48" s="92"/>
      <c r="W48" s="92"/>
      <c r="X48" s="92"/>
      <c r="Y48" s="92"/>
    </row>
    <row r="49" spans="1:25">
      <c r="A49" s="441"/>
      <c r="B49" s="23">
        <f t="shared" si="12"/>
        <v>49</v>
      </c>
      <c r="C49" s="465">
        <f t="shared" ref="C49:E54" si="15">(C11&lt;&gt;"")*1</f>
        <v>1</v>
      </c>
      <c r="D49" s="465">
        <f t="shared" si="15"/>
        <v>0</v>
      </c>
      <c r="E49" s="465">
        <f t="shared" si="15"/>
        <v>1</v>
      </c>
      <c r="F49" s="163" t="s">
        <v>185</v>
      </c>
      <c r="G49" s="110">
        <f t="shared" ref="G49:G54" si="16">ROUND(G11*G$6*G$3*IF($D49&gt;0,G$8,1)/12,2)</f>
        <v>0</v>
      </c>
      <c r="H49" s="110">
        <f t="shared" ref="H49:R49" si="17">ROUND(H11*H$6*H$3*IF($D49&gt;0,H$8,1)/12,2)</f>
        <v>0</v>
      </c>
      <c r="I49" s="110">
        <f t="shared" si="17"/>
        <v>0</v>
      </c>
      <c r="J49" s="110">
        <f t="shared" si="17"/>
        <v>0</v>
      </c>
      <c r="K49" s="110">
        <f t="shared" si="17"/>
        <v>0</v>
      </c>
      <c r="L49" s="110">
        <f t="shared" si="17"/>
        <v>0</v>
      </c>
      <c r="M49" s="110">
        <f t="shared" si="17"/>
        <v>0</v>
      </c>
      <c r="N49" s="110">
        <f t="shared" si="17"/>
        <v>0</v>
      </c>
      <c r="O49" s="110">
        <f t="shared" si="17"/>
        <v>0</v>
      </c>
      <c r="P49" s="110">
        <f t="shared" si="17"/>
        <v>0</v>
      </c>
      <c r="Q49" s="110">
        <f t="shared" si="17"/>
        <v>0</v>
      </c>
      <c r="R49" s="110">
        <f t="shared" si="17"/>
        <v>0</v>
      </c>
      <c r="S49" s="111">
        <f t="shared" si="10"/>
        <v>0</v>
      </c>
      <c r="T49" s="92"/>
      <c r="U49" s="92"/>
      <c r="V49" s="92"/>
      <c r="W49" s="92"/>
      <c r="X49" s="92"/>
      <c r="Y49" s="92"/>
    </row>
    <row r="50" spans="1:25">
      <c r="A50" s="441"/>
      <c r="B50" s="23">
        <f t="shared" si="12"/>
        <v>50</v>
      </c>
      <c r="C50" s="465">
        <f t="shared" si="15"/>
        <v>1</v>
      </c>
      <c r="D50" s="465">
        <f t="shared" si="15"/>
        <v>0</v>
      </c>
      <c r="E50" s="465">
        <f t="shared" si="15"/>
        <v>1</v>
      </c>
      <c r="F50" s="163" t="s">
        <v>186</v>
      </c>
      <c r="G50" s="110">
        <f t="shared" si="16"/>
        <v>0</v>
      </c>
      <c r="H50" s="110">
        <f t="shared" ref="H50:R50" si="18">ROUND(H12*H$6*H$3*IF($D50&gt;0,H$8,1)/12,2)</f>
        <v>0</v>
      </c>
      <c r="I50" s="110">
        <f t="shared" si="18"/>
        <v>0</v>
      </c>
      <c r="J50" s="110">
        <f t="shared" si="18"/>
        <v>0</v>
      </c>
      <c r="K50" s="110">
        <f t="shared" si="18"/>
        <v>0</v>
      </c>
      <c r="L50" s="110">
        <f t="shared" si="18"/>
        <v>0</v>
      </c>
      <c r="M50" s="110">
        <f t="shared" si="18"/>
        <v>0</v>
      </c>
      <c r="N50" s="110">
        <f t="shared" si="18"/>
        <v>0</v>
      </c>
      <c r="O50" s="110">
        <f t="shared" si="18"/>
        <v>0</v>
      </c>
      <c r="P50" s="110">
        <f t="shared" si="18"/>
        <v>0</v>
      </c>
      <c r="Q50" s="110">
        <f t="shared" si="18"/>
        <v>0</v>
      </c>
      <c r="R50" s="110">
        <f t="shared" si="18"/>
        <v>0</v>
      </c>
      <c r="S50" s="111">
        <f t="shared" si="10"/>
        <v>0</v>
      </c>
      <c r="T50" s="92"/>
      <c r="U50" s="92"/>
      <c r="V50" s="92"/>
      <c r="W50" s="92"/>
      <c r="X50" s="92"/>
      <c r="Y50" s="92"/>
    </row>
    <row r="51" spans="1:25">
      <c r="A51" s="441"/>
      <c r="B51" s="23">
        <f t="shared" si="12"/>
        <v>51</v>
      </c>
      <c r="C51" s="465">
        <f t="shared" si="15"/>
        <v>1</v>
      </c>
      <c r="D51" s="465">
        <f t="shared" si="15"/>
        <v>0</v>
      </c>
      <c r="E51" s="465">
        <f t="shared" si="15"/>
        <v>1</v>
      </c>
      <c r="F51" s="163" t="s">
        <v>187</v>
      </c>
      <c r="G51" s="110">
        <f t="shared" si="16"/>
        <v>0</v>
      </c>
      <c r="H51" s="110">
        <f t="shared" ref="H51:R51" si="19">ROUND(H13*H$6*H$3*IF($D51&gt;0,H$8,1)/12,2)</f>
        <v>0</v>
      </c>
      <c r="I51" s="110">
        <f t="shared" si="19"/>
        <v>0</v>
      </c>
      <c r="J51" s="110">
        <f t="shared" si="19"/>
        <v>0</v>
      </c>
      <c r="K51" s="110">
        <f t="shared" si="19"/>
        <v>0</v>
      </c>
      <c r="L51" s="110">
        <f t="shared" si="19"/>
        <v>0</v>
      </c>
      <c r="M51" s="110">
        <f t="shared" si="19"/>
        <v>0</v>
      </c>
      <c r="N51" s="110">
        <f t="shared" si="19"/>
        <v>0</v>
      </c>
      <c r="O51" s="110">
        <f t="shared" si="19"/>
        <v>0</v>
      </c>
      <c r="P51" s="110">
        <f t="shared" si="19"/>
        <v>0</v>
      </c>
      <c r="Q51" s="110">
        <f t="shared" si="19"/>
        <v>0</v>
      </c>
      <c r="R51" s="110">
        <f t="shared" si="19"/>
        <v>0</v>
      </c>
      <c r="S51" s="111">
        <f t="shared" si="10"/>
        <v>0</v>
      </c>
      <c r="T51" s="92"/>
      <c r="U51" s="92"/>
      <c r="V51" s="92"/>
      <c r="W51" s="92"/>
      <c r="X51" s="92"/>
      <c r="Y51" s="92"/>
    </row>
    <row r="52" spans="1:25">
      <c r="A52" s="441"/>
      <c r="B52" s="23">
        <f t="shared" si="12"/>
        <v>52</v>
      </c>
      <c r="C52" s="465">
        <f t="shared" si="15"/>
        <v>1</v>
      </c>
      <c r="D52" s="465">
        <f t="shared" si="15"/>
        <v>1</v>
      </c>
      <c r="E52" s="465">
        <f t="shared" si="15"/>
        <v>1</v>
      </c>
      <c r="F52" s="163" t="s">
        <v>188</v>
      </c>
      <c r="G52" s="110">
        <f t="shared" si="16"/>
        <v>0</v>
      </c>
      <c r="H52" s="110">
        <f t="shared" ref="H52:R52" si="20">ROUND(H14*H$6*H$3*IF($D52&gt;0,H$8,1)/12,2)</f>
        <v>0</v>
      </c>
      <c r="I52" s="110">
        <f t="shared" si="20"/>
        <v>0</v>
      </c>
      <c r="J52" s="110">
        <f t="shared" si="20"/>
        <v>0</v>
      </c>
      <c r="K52" s="110">
        <f t="shared" si="20"/>
        <v>0</v>
      </c>
      <c r="L52" s="110">
        <f t="shared" si="20"/>
        <v>0</v>
      </c>
      <c r="M52" s="110">
        <f t="shared" si="20"/>
        <v>0</v>
      </c>
      <c r="N52" s="110">
        <f t="shared" si="20"/>
        <v>0</v>
      </c>
      <c r="O52" s="110">
        <f t="shared" si="20"/>
        <v>0</v>
      </c>
      <c r="P52" s="110">
        <f t="shared" si="20"/>
        <v>0</v>
      </c>
      <c r="Q52" s="110">
        <f t="shared" si="20"/>
        <v>0</v>
      </c>
      <c r="R52" s="110">
        <f t="shared" si="20"/>
        <v>0</v>
      </c>
      <c r="S52" s="111">
        <f t="shared" si="10"/>
        <v>0</v>
      </c>
      <c r="T52" s="92"/>
      <c r="U52" s="92"/>
      <c r="V52" s="92"/>
      <c r="W52" s="92"/>
      <c r="X52" s="92"/>
      <c r="Y52" s="92"/>
    </row>
    <row r="53" spans="1:25">
      <c r="A53" s="441"/>
      <c r="B53" s="23">
        <f t="shared" si="12"/>
        <v>53</v>
      </c>
      <c r="C53" s="465">
        <f t="shared" si="15"/>
        <v>1</v>
      </c>
      <c r="D53" s="465">
        <f t="shared" si="15"/>
        <v>0</v>
      </c>
      <c r="E53" s="465">
        <f t="shared" si="15"/>
        <v>1</v>
      </c>
      <c r="F53" s="163" t="s">
        <v>189</v>
      </c>
      <c r="G53" s="110">
        <f t="shared" si="16"/>
        <v>0</v>
      </c>
      <c r="H53" s="110">
        <f t="shared" ref="H53:R53" si="21">ROUND(H15*H$6*H$3*IF($D53&gt;0,H$8,1)/12,2)</f>
        <v>0</v>
      </c>
      <c r="I53" s="110">
        <f t="shared" si="21"/>
        <v>0</v>
      </c>
      <c r="J53" s="110">
        <f t="shared" si="21"/>
        <v>0</v>
      </c>
      <c r="K53" s="110">
        <f t="shared" si="21"/>
        <v>0</v>
      </c>
      <c r="L53" s="110">
        <f t="shared" si="21"/>
        <v>0</v>
      </c>
      <c r="M53" s="110">
        <f t="shared" si="21"/>
        <v>0</v>
      </c>
      <c r="N53" s="110">
        <f t="shared" si="21"/>
        <v>0</v>
      </c>
      <c r="O53" s="110">
        <f t="shared" si="21"/>
        <v>0</v>
      </c>
      <c r="P53" s="110">
        <f t="shared" si="21"/>
        <v>0</v>
      </c>
      <c r="Q53" s="110">
        <f t="shared" si="21"/>
        <v>0</v>
      </c>
      <c r="R53" s="110">
        <f t="shared" si="21"/>
        <v>0</v>
      </c>
      <c r="S53" s="111">
        <f t="shared" si="10"/>
        <v>0</v>
      </c>
      <c r="T53" s="92"/>
      <c r="U53" s="92"/>
      <c r="V53" s="92"/>
      <c r="W53" s="92"/>
      <c r="X53" s="92"/>
      <c r="Y53" s="92"/>
    </row>
    <row r="54" spans="1:25">
      <c r="A54" s="441"/>
      <c r="B54" s="23">
        <f t="shared" si="12"/>
        <v>54</v>
      </c>
      <c r="C54" s="465">
        <f t="shared" si="15"/>
        <v>1</v>
      </c>
      <c r="D54" s="465">
        <f t="shared" si="15"/>
        <v>0</v>
      </c>
      <c r="E54" s="465">
        <f t="shared" si="15"/>
        <v>1</v>
      </c>
      <c r="F54" s="163" t="s">
        <v>190</v>
      </c>
      <c r="G54" s="110">
        <f t="shared" si="16"/>
        <v>0</v>
      </c>
      <c r="H54" s="110">
        <f t="shared" ref="H54:R54" si="22">ROUND(H16*H$6*H$3*IF($D54&gt;0,H$8,1)/12,2)</f>
        <v>0</v>
      </c>
      <c r="I54" s="110">
        <f t="shared" si="22"/>
        <v>0</v>
      </c>
      <c r="J54" s="110">
        <f t="shared" si="22"/>
        <v>0</v>
      </c>
      <c r="K54" s="110">
        <f t="shared" si="22"/>
        <v>0</v>
      </c>
      <c r="L54" s="110">
        <f t="shared" si="22"/>
        <v>0</v>
      </c>
      <c r="M54" s="110">
        <f t="shared" si="22"/>
        <v>0</v>
      </c>
      <c r="N54" s="110">
        <f t="shared" si="22"/>
        <v>0</v>
      </c>
      <c r="O54" s="110">
        <f t="shared" si="22"/>
        <v>0</v>
      </c>
      <c r="P54" s="110">
        <f t="shared" si="22"/>
        <v>0</v>
      </c>
      <c r="Q54" s="110">
        <f t="shared" si="22"/>
        <v>0</v>
      </c>
      <c r="R54" s="110">
        <f t="shared" si="22"/>
        <v>0</v>
      </c>
      <c r="S54" s="111">
        <f t="shared" si="10"/>
        <v>0</v>
      </c>
      <c r="T54" s="92"/>
      <c r="U54" s="92"/>
      <c r="V54" s="92"/>
      <c r="W54" s="92"/>
      <c r="X54" s="92"/>
      <c r="Y54" s="92"/>
    </row>
    <row r="55" spans="1:25">
      <c r="A55" s="441"/>
      <c r="B55" s="23">
        <f t="shared" si="12"/>
        <v>55</v>
      </c>
      <c r="C55" s="465">
        <v>1</v>
      </c>
      <c r="D55" s="1">
        <v>1</v>
      </c>
      <c r="E55" s="1">
        <v>1</v>
      </c>
      <c r="F55" s="163" t="s">
        <v>367</v>
      </c>
      <c r="G55" s="110">
        <f>ROUND(G17*G$6*G$8/12*G3,2)</f>
        <v>0</v>
      </c>
      <c r="H55" s="110">
        <f t="shared" ref="H55:R55" si="23">ROUND(H17*H$6*H$8/12*H3,2)</f>
        <v>0</v>
      </c>
      <c r="I55" s="110">
        <f t="shared" si="23"/>
        <v>0</v>
      </c>
      <c r="J55" s="110">
        <f t="shared" si="23"/>
        <v>0</v>
      </c>
      <c r="K55" s="110">
        <f t="shared" si="23"/>
        <v>0</v>
      </c>
      <c r="L55" s="110">
        <f t="shared" si="23"/>
        <v>0</v>
      </c>
      <c r="M55" s="110">
        <f t="shared" si="23"/>
        <v>0</v>
      </c>
      <c r="N55" s="110">
        <f t="shared" si="23"/>
        <v>0</v>
      </c>
      <c r="O55" s="110">
        <f t="shared" si="23"/>
        <v>0</v>
      </c>
      <c r="P55" s="110">
        <f t="shared" si="23"/>
        <v>0</v>
      </c>
      <c r="Q55" s="110">
        <f t="shared" si="23"/>
        <v>0</v>
      </c>
      <c r="R55" s="110">
        <f t="shared" si="23"/>
        <v>0</v>
      </c>
      <c r="S55" s="111">
        <f t="shared" si="10"/>
        <v>0</v>
      </c>
      <c r="T55" s="92"/>
      <c r="U55" s="92"/>
      <c r="V55" s="92"/>
      <c r="W55" s="92"/>
      <c r="X55" s="92"/>
      <c r="Y55" s="92"/>
    </row>
    <row r="56" spans="1:25">
      <c r="A56" s="441"/>
      <c r="B56" s="23">
        <f t="shared" si="12"/>
        <v>56</v>
      </c>
      <c r="C56" s="465">
        <v>1</v>
      </c>
      <c r="D56" s="1">
        <v>1</v>
      </c>
      <c r="E56" s="1">
        <v>1</v>
      </c>
      <c r="F56" s="163" t="s">
        <v>125</v>
      </c>
      <c r="G56" s="110">
        <f>ROUND(G18*G$6*G$8/12*G3,2)</f>
        <v>0</v>
      </c>
      <c r="H56" s="110">
        <f t="shared" ref="H56:R56" si="24">ROUND(H18*H$6*H$8/12*H3,2)</f>
        <v>0</v>
      </c>
      <c r="I56" s="110">
        <f t="shared" si="24"/>
        <v>0</v>
      </c>
      <c r="J56" s="110">
        <f t="shared" si="24"/>
        <v>0</v>
      </c>
      <c r="K56" s="110">
        <f t="shared" si="24"/>
        <v>0</v>
      </c>
      <c r="L56" s="110">
        <f t="shared" si="24"/>
        <v>0</v>
      </c>
      <c r="M56" s="110">
        <f t="shared" si="24"/>
        <v>0</v>
      </c>
      <c r="N56" s="110">
        <f t="shared" si="24"/>
        <v>0</v>
      </c>
      <c r="O56" s="110">
        <f t="shared" si="24"/>
        <v>0</v>
      </c>
      <c r="P56" s="110">
        <f t="shared" si="24"/>
        <v>0</v>
      </c>
      <c r="Q56" s="110">
        <f t="shared" si="24"/>
        <v>0</v>
      </c>
      <c r="R56" s="110">
        <f t="shared" si="24"/>
        <v>0</v>
      </c>
      <c r="S56" s="111">
        <f t="shared" si="10"/>
        <v>0</v>
      </c>
      <c r="T56" s="92"/>
      <c r="U56" s="92"/>
      <c r="V56" s="92"/>
      <c r="W56" s="92"/>
      <c r="X56" s="92"/>
      <c r="Y56" s="92"/>
    </row>
    <row r="57" spans="1:25">
      <c r="A57" s="441"/>
      <c r="B57" s="23">
        <f t="shared" si="12"/>
        <v>57</v>
      </c>
      <c r="C57" s="465"/>
      <c r="D57" s="1">
        <v>1</v>
      </c>
      <c r="E57" s="1">
        <v>1</v>
      </c>
      <c r="F57" s="163" t="s">
        <v>401</v>
      </c>
      <c r="G57" s="110">
        <f>ROUND((IF(RIGHT(G4)="1",5200)+IF(OR(RIGHT(G4)="2",RIGHT(G4)="3"),7900))*G6/12*G8*G3,2)</f>
        <v>0</v>
      </c>
      <c r="H57" s="110">
        <f t="shared" ref="H57:R57" si="25">ROUND((IF(RIGHT(H4)="1",5200)+IF(OR(RIGHT(H4)="2",RIGHT(H4)="3"),7900))*H6/12*H8*H3,2)</f>
        <v>0</v>
      </c>
      <c r="I57" s="110">
        <f t="shared" si="25"/>
        <v>0</v>
      </c>
      <c r="J57" s="110">
        <f t="shared" si="25"/>
        <v>0</v>
      </c>
      <c r="K57" s="110">
        <f t="shared" si="25"/>
        <v>0</v>
      </c>
      <c r="L57" s="110">
        <f t="shared" si="25"/>
        <v>0</v>
      </c>
      <c r="M57" s="110">
        <f t="shared" si="25"/>
        <v>0</v>
      </c>
      <c r="N57" s="110">
        <f t="shared" si="25"/>
        <v>0</v>
      </c>
      <c r="O57" s="110">
        <f t="shared" si="25"/>
        <v>0</v>
      </c>
      <c r="P57" s="110">
        <f t="shared" si="25"/>
        <v>0</v>
      </c>
      <c r="Q57" s="110">
        <f t="shared" si="25"/>
        <v>0</v>
      </c>
      <c r="R57" s="110">
        <f t="shared" si="25"/>
        <v>0</v>
      </c>
      <c r="S57" s="111">
        <f t="shared" si="10"/>
        <v>0</v>
      </c>
      <c r="T57" s="92"/>
      <c r="U57" s="92"/>
      <c r="V57" s="92"/>
      <c r="W57" s="92"/>
      <c r="X57" s="92"/>
      <c r="Y57" s="92"/>
    </row>
    <row r="58" spans="1:25">
      <c r="A58" s="441"/>
      <c r="B58" s="23">
        <f t="shared" si="12"/>
        <v>58</v>
      </c>
      <c r="C58" s="465">
        <v>1</v>
      </c>
      <c r="D58" s="1">
        <v>1</v>
      </c>
      <c r="E58" s="1">
        <v>1</v>
      </c>
      <c r="F58" s="163" t="s">
        <v>376</v>
      </c>
      <c r="G58" s="110">
        <f>ROUND(2800*G$6*G$8*G3/12,2)</f>
        <v>0</v>
      </c>
      <c r="H58" s="110">
        <f t="shared" ref="H58:R58" si="26">ROUND(2800*H$6*H$8*H3/12,2)</f>
        <v>0</v>
      </c>
      <c r="I58" s="110">
        <f t="shared" si="26"/>
        <v>0</v>
      </c>
      <c r="J58" s="110">
        <f t="shared" si="26"/>
        <v>0</v>
      </c>
      <c r="K58" s="110">
        <f t="shared" si="26"/>
        <v>0</v>
      </c>
      <c r="L58" s="110">
        <f t="shared" si="26"/>
        <v>0</v>
      </c>
      <c r="M58" s="110">
        <f t="shared" si="26"/>
        <v>0</v>
      </c>
      <c r="N58" s="110">
        <f t="shared" si="26"/>
        <v>0</v>
      </c>
      <c r="O58" s="110">
        <f t="shared" si="26"/>
        <v>0</v>
      </c>
      <c r="P58" s="110">
        <f t="shared" si="26"/>
        <v>0</v>
      </c>
      <c r="Q58" s="110">
        <f t="shared" si="26"/>
        <v>0</v>
      </c>
      <c r="R58" s="110">
        <f t="shared" si="26"/>
        <v>0</v>
      </c>
      <c r="S58" s="111">
        <f t="shared" si="10"/>
        <v>0</v>
      </c>
      <c r="T58" s="92"/>
      <c r="U58" s="92"/>
      <c r="V58" s="92"/>
      <c r="W58" s="92"/>
      <c r="X58" s="92"/>
      <c r="Y58" s="92"/>
    </row>
    <row r="59" spans="1:25">
      <c r="A59" s="441"/>
      <c r="B59" s="23">
        <f t="shared" si="12"/>
        <v>59</v>
      </c>
      <c r="C59" s="468"/>
      <c r="D59" s="469"/>
      <c r="E59" s="469"/>
      <c r="F59" s="163" t="s">
        <v>191</v>
      </c>
      <c r="G59" s="110">
        <f>IF(G$45&gt;0,ROUND(IF(G$8&gt;=0.5,708*G$6,354*G$6)/12*G$3,2),0)</f>
        <v>0</v>
      </c>
      <c r="H59" s="110">
        <f t="shared" ref="H59:R59" si="27">IF(H$45&gt;0,ROUND(IF(H$8&gt;=0.5,708*H$6,354*H$6)/12*H$3,2),0)</f>
        <v>0</v>
      </c>
      <c r="I59" s="110">
        <f t="shared" si="27"/>
        <v>0</v>
      </c>
      <c r="J59" s="110">
        <f t="shared" si="27"/>
        <v>0</v>
      </c>
      <c r="K59" s="110">
        <f t="shared" si="27"/>
        <v>0</v>
      </c>
      <c r="L59" s="110">
        <f t="shared" si="27"/>
        <v>0</v>
      </c>
      <c r="M59" s="110">
        <f t="shared" si="27"/>
        <v>0</v>
      </c>
      <c r="N59" s="110">
        <f t="shared" si="27"/>
        <v>0</v>
      </c>
      <c r="O59" s="110">
        <f t="shared" si="27"/>
        <v>0</v>
      </c>
      <c r="P59" s="110">
        <f t="shared" si="27"/>
        <v>0</v>
      </c>
      <c r="Q59" s="110">
        <f t="shared" si="27"/>
        <v>0</v>
      </c>
      <c r="R59" s="110">
        <f t="shared" si="27"/>
        <v>0</v>
      </c>
      <c r="S59" s="111">
        <f t="shared" si="10"/>
        <v>0</v>
      </c>
      <c r="T59" s="92"/>
      <c r="U59" s="92"/>
      <c r="V59" s="92"/>
      <c r="W59" s="92"/>
      <c r="X59" s="92"/>
      <c r="Y59" s="92"/>
    </row>
    <row r="60" spans="1:25">
      <c r="A60" s="441"/>
      <c r="B60" s="23">
        <f t="shared" si="12"/>
        <v>60</v>
      </c>
      <c r="C60" s="468"/>
      <c r="D60" s="465">
        <f>(D20&lt;&gt;"")*1</f>
        <v>1</v>
      </c>
      <c r="E60" s="465">
        <f>(E20&lt;&gt;"")*1</f>
        <v>1</v>
      </c>
      <c r="F60" s="163" t="s">
        <v>171</v>
      </c>
      <c r="G60" s="110">
        <f>G$20*IF($D60&gt;0,G$8,1)*IF($E60&gt;0,G$6,1)*$G3</f>
        <v>0</v>
      </c>
      <c r="H60" s="110">
        <f t="shared" ref="H60:R60" si="28">H20*IF($D60&gt;0,H$8,1)*IF($E60&gt;0,H$6,1)*H3</f>
        <v>0</v>
      </c>
      <c r="I60" s="110">
        <f t="shared" si="28"/>
        <v>0</v>
      </c>
      <c r="J60" s="110">
        <f t="shared" si="28"/>
        <v>0</v>
      </c>
      <c r="K60" s="110">
        <f t="shared" si="28"/>
        <v>0</v>
      </c>
      <c r="L60" s="110">
        <f t="shared" si="28"/>
        <v>0</v>
      </c>
      <c r="M60" s="110">
        <f t="shared" si="28"/>
        <v>0</v>
      </c>
      <c r="N60" s="110">
        <f t="shared" si="28"/>
        <v>0</v>
      </c>
      <c r="O60" s="110">
        <f t="shared" si="28"/>
        <v>0</v>
      </c>
      <c r="P60" s="110">
        <f t="shared" si="28"/>
        <v>0</v>
      </c>
      <c r="Q60" s="110">
        <f t="shared" si="28"/>
        <v>0</v>
      </c>
      <c r="R60" s="110">
        <f t="shared" si="28"/>
        <v>0</v>
      </c>
      <c r="S60" s="111">
        <f t="shared" si="10"/>
        <v>0</v>
      </c>
      <c r="T60" s="92"/>
      <c r="U60" s="92"/>
      <c r="V60" s="92"/>
      <c r="W60" s="92"/>
      <c r="X60" s="92"/>
      <c r="Y60" s="92"/>
    </row>
    <row r="61" spans="1:25">
      <c r="A61" s="441"/>
      <c r="B61" s="23">
        <f t="shared" si="12"/>
        <v>61</v>
      </c>
      <c r="C61" s="468"/>
      <c r="D61" s="469"/>
      <c r="E61" s="469"/>
      <c r="F61" s="163" t="s">
        <v>172</v>
      </c>
      <c r="G61" s="216">
        <f t="shared" ref="G61:R61" si="29">IF(G8&gt;0,108.35*G3,0)</f>
        <v>0</v>
      </c>
      <c r="H61" s="216">
        <f t="shared" si="29"/>
        <v>0</v>
      </c>
      <c r="I61" s="216">
        <f t="shared" si="29"/>
        <v>0</v>
      </c>
      <c r="J61" s="216">
        <f t="shared" si="29"/>
        <v>0</v>
      </c>
      <c r="K61" s="216">
        <f t="shared" si="29"/>
        <v>0</v>
      </c>
      <c r="L61" s="216">
        <f t="shared" si="29"/>
        <v>0</v>
      </c>
      <c r="M61" s="216">
        <f t="shared" si="29"/>
        <v>0</v>
      </c>
      <c r="N61" s="216">
        <f t="shared" si="29"/>
        <v>0</v>
      </c>
      <c r="O61" s="216">
        <f t="shared" si="29"/>
        <v>0</v>
      </c>
      <c r="P61" s="216">
        <f t="shared" si="29"/>
        <v>0</v>
      </c>
      <c r="Q61" s="216">
        <f t="shared" si="29"/>
        <v>0</v>
      </c>
      <c r="R61" s="216">
        <f t="shared" si="29"/>
        <v>0</v>
      </c>
      <c r="S61" s="111">
        <f t="shared" si="10"/>
        <v>0</v>
      </c>
      <c r="T61" s="92"/>
      <c r="U61" s="92"/>
      <c r="V61" s="92"/>
      <c r="W61" s="92"/>
      <c r="X61" s="92"/>
      <c r="Y61" s="92"/>
    </row>
    <row r="62" spans="1:25">
      <c r="A62" s="441"/>
      <c r="B62" s="23">
        <f t="shared" si="12"/>
        <v>62</v>
      </c>
      <c r="C62" s="468"/>
      <c r="D62" s="469"/>
      <c r="E62" s="469"/>
      <c r="F62" s="163" t="s">
        <v>266</v>
      </c>
      <c r="G62" s="216">
        <f>-(MAX(0,MIN(G$21,G$22*1))+G$25)*4.62%*SUM(G$45:G$61)</f>
        <v>0</v>
      </c>
      <c r="H62" s="216">
        <f t="shared" ref="H62:R62" si="30">-(MAX(0,MIN(H$21,H$22*1))+H$25)*4.62%*SUM(H$45:H$61)</f>
        <v>0</v>
      </c>
      <c r="I62" s="216">
        <f t="shared" si="30"/>
        <v>0</v>
      </c>
      <c r="J62" s="216">
        <f t="shared" si="30"/>
        <v>0</v>
      </c>
      <c r="K62" s="216">
        <f t="shared" si="30"/>
        <v>0</v>
      </c>
      <c r="L62" s="216">
        <f t="shared" si="30"/>
        <v>0</v>
      </c>
      <c r="M62" s="216">
        <f t="shared" si="30"/>
        <v>0</v>
      </c>
      <c r="N62" s="216">
        <f t="shared" si="30"/>
        <v>0</v>
      </c>
      <c r="O62" s="216">
        <f t="shared" si="30"/>
        <v>0</v>
      </c>
      <c r="P62" s="216">
        <f t="shared" si="30"/>
        <v>0</v>
      </c>
      <c r="Q62" s="216">
        <f t="shared" si="30"/>
        <v>0</v>
      </c>
      <c r="R62" s="216">
        <f t="shared" si="30"/>
        <v>0</v>
      </c>
      <c r="S62" s="111">
        <f t="shared" si="10"/>
        <v>0</v>
      </c>
      <c r="T62" s="92"/>
      <c r="U62" s="92"/>
      <c r="V62" s="92"/>
      <c r="W62" s="92"/>
      <c r="X62" s="92"/>
      <c r="Y62" s="92"/>
    </row>
    <row r="63" spans="1:25">
      <c r="A63" s="441"/>
      <c r="B63" s="23">
        <f t="shared" si="12"/>
        <v>63</v>
      </c>
      <c r="C63" s="468"/>
      <c r="D63" s="469"/>
      <c r="E63" s="469"/>
      <c r="F63" s="491" t="s">
        <v>205</v>
      </c>
      <c r="G63" s="492">
        <f>(G$21-G$22)*4.62%*(G$23-G$8)*(G$3=1)*IF(G$8&gt;0,(G$45+G$46+G49*($D49&gt;0)+G50*($D50&gt;0)+G51*($D51&gt;0)+G52*($D52&gt;0)+G53*($D53&gt;0)+G54*($D54&gt;0)+G$55+G$56+G$57+G$58)/G$8,0)*(G$23&gt;0)</f>
        <v>0</v>
      </c>
      <c r="H63" s="492">
        <f t="shared" ref="H63:O63" si="31">(H$21-H$22)*4.62%*(H$23-H$8)*(H$3=1)*IF(H$8&gt;0,(H$45+H$46+H49*($D49&gt;0)+H50*($D50&gt;0)+H51*($D51&gt;0)+H52*($D52&gt;0)+H53*($D53&gt;0)+H54*($D54&gt;0)+H$55+H$56+H$57+H$58)/H$8,0)*(H$23&gt;0)</f>
        <v>0</v>
      </c>
      <c r="I63" s="492">
        <f t="shared" si="31"/>
        <v>0</v>
      </c>
      <c r="J63" s="492">
        <f t="shared" si="31"/>
        <v>0</v>
      </c>
      <c r="K63" s="492">
        <f t="shared" si="31"/>
        <v>0</v>
      </c>
      <c r="L63" s="492">
        <f t="shared" si="31"/>
        <v>0</v>
      </c>
      <c r="M63" s="492">
        <f t="shared" si="31"/>
        <v>0</v>
      </c>
      <c r="N63" s="492">
        <f t="shared" si="31"/>
        <v>0</v>
      </c>
      <c r="O63" s="492">
        <f t="shared" si="31"/>
        <v>0</v>
      </c>
      <c r="P63" s="554">
        <f>(P$21-P$22)*4.62%*(P$24-P$8)*(P$3=1)*IF(P$8&gt;0,(P$45+P$46+P49*($D49&gt;0)+P50*($D50&gt;0)+P51*($D51&gt;0)+P52*($D52&gt;0)+P53*($D53&gt;0)+P54*($D54&gt;0)+P$55+P$56+P$57+P$58)/P$8,0)*(P$23&gt;0)</f>
        <v>0</v>
      </c>
      <c r="Q63" s="554">
        <f>(Q$21-Q$22)*4.62%*(Q$24-Q$8)*(Q$3=1)*IF(Q$8&gt;0,(Q$45+Q$46+Q49*($D49&gt;0)+Q50*($D50&gt;0)+Q51*($D51&gt;0)+Q52*($D52&gt;0)+Q53*($D53&gt;0)+Q54*($D54&gt;0)+Q$55+Q$56+Q$57+Q$58)/Q$8,0)*(Q$23&gt;0)</f>
        <v>0</v>
      </c>
      <c r="R63" s="554">
        <f>(R$21-R$22)*4.62%*(R$24-R$8)*(R$3=1)*IF(R$8&gt;0,(R$45+R$46+R49*($D49&gt;0)+R50*($D50&gt;0)+R51*($D51&gt;0)+R52*($D52&gt;0)+R53*($D53&gt;0)+R54*($D54&gt;0)+R$55+R$56+R$57+R$58)/R$8,0)*(R$23&gt;0)</f>
        <v>0</v>
      </c>
      <c r="S63" s="111">
        <f t="shared" si="10"/>
        <v>0</v>
      </c>
      <c r="T63" s="92"/>
      <c r="U63" s="92"/>
      <c r="V63" s="92"/>
      <c r="W63" s="92"/>
      <c r="X63" s="92"/>
      <c r="Y63" s="92"/>
    </row>
    <row r="64" spans="1:25">
      <c r="A64" s="441"/>
      <c r="B64" s="23">
        <f t="shared" si="12"/>
        <v>64</v>
      </c>
      <c r="C64" s="468"/>
      <c r="D64" s="469"/>
      <c r="E64" s="469"/>
      <c r="F64" s="163" t="s">
        <v>464</v>
      </c>
      <c r="G64" s="219">
        <f t="shared" ref="G64:K65" si="32">$D28*G28</f>
        <v>0</v>
      </c>
      <c r="H64" s="219">
        <f t="shared" si="32"/>
        <v>0</v>
      </c>
      <c r="I64" s="219">
        <f t="shared" si="32"/>
        <v>0</v>
      </c>
      <c r="J64" s="219">
        <f t="shared" si="32"/>
        <v>0</v>
      </c>
      <c r="K64" s="219">
        <f t="shared" si="32"/>
        <v>0</v>
      </c>
      <c r="L64" s="553">
        <f t="shared" ref="L64:R65" si="33">$E28*L28</f>
        <v>0</v>
      </c>
      <c r="M64" s="553">
        <f t="shared" si="33"/>
        <v>0</v>
      </c>
      <c r="N64" s="553">
        <f t="shared" si="33"/>
        <v>0</v>
      </c>
      <c r="O64" s="553">
        <f t="shared" si="33"/>
        <v>0</v>
      </c>
      <c r="P64" s="553">
        <f t="shared" si="33"/>
        <v>0</v>
      </c>
      <c r="Q64" s="553">
        <f t="shared" si="33"/>
        <v>0</v>
      </c>
      <c r="R64" s="553">
        <f t="shared" si="33"/>
        <v>0</v>
      </c>
      <c r="S64" s="111">
        <f t="shared" si="10"/>
        <v>0</v>
      </c>
      <c r="T64" s="92"/>
      <c r="U64" s="92"/>
      <c r="V64" s="92"/>
      <c r="W64" s="92"/>
      <c r="X64" s="92"/>
      <c r="Y64" s="92"/>
    </row>
    <row r="65" spans="1:25">
      <c r="A65" s="441"/>
      <c r="B65" s="23">
        <f t="shared" si="12"/>
        <v>65</v>
      </c>
      <c r="C65" s="468"/>
      <c r="D65" s="469"/>
      <c r="E65" s="469"/>
      <c r="F65" s="163" t="s">
        <v>465</v>
      </c>
      <c r="G65" s="219">
        <f t="shared" si="32"/>
        <v>0</v>
      </c>
      <c r="H65" s="219">
        <f t="shared" si="32"/>
        <v>0</v>
      </c>
      <c r="I65" s="219">
        <f t="shared" si="32"/>
        <v>0</v>
      </c>
      <c r="J65" s="219">
        <f t="shared" si="32"/>
        <v>0</v>
      </c>
      <c r="K65" s="219">
        <f t="shared" si="32"/>
        <v>0</v>
      </c>
      <c r="L65" s="553">
        <f t="shared" si="33"/>
        <v>0</v>
      </c>
      <c r="M65" s="553">
        <f t="shared" si="33"/>
        <v>0</v>
      </c>
      <c r="N65" s="553">
        <f t="shared" si="33"/>
        <v>0</v>
      </c>
      <c r="O65" s="553">
        <f t="shared" si="33"/>
        <v>0</v>
      </c>
      <c r="P65" s="553">
        <f t="shared" si="33"/>
        <v>0</v>
      </c>
      <c r="Q65" s="553">
        <f t="shared" si="33"/>
        <v>0</v>
      </c>
      <c r="R65" s="553">
        <f t="shared" si="33"/>
        <v>0</v>
      </c>
      <c r="S65" s="111">
        <f t="shared" si="10"/>
        <v>0</v>
      </c>
      <c r="T65" s="92"/>
      <c r="U65" s="92"/>
      <c r="V65" s="92"/>
      <c r="W65" s="92"/>
      <c r="X65" s="92"/>
      <c r="Y65" s="92"/>
    </row>
    <row r="66" spans="1:25">
      <c r="A66" s="441"/>
      <c r="B66" s="23">
        <f t="shared" si="12"/>
        <v>66</v>
      </c>
      <c r="C66" s="468"/>
      <c r="D66" s="469"/>
      <c r="E66" s="469"/>
      <c r="F66" s="164" t="s">
        <v>466</v>
      </c>
      <c r="G66" s="219">
        <f>G30</f>
        <v>0</v>
      </c>
      <c r="H66" s="219">
        <f t="shared" ref="H66:R66" si="34">H30</f>
        <v>0</v>
      </c>
      <c r="I66" s="219">
        <f t="shared" si="34"/>
        <v>0</v>
      </c>
      <c r="J66" s="219">
        <f t="shared" si="34"/>
        <v>0</v>
      </c>
      <c r="K66" s="219">
        <f t="shared" si="34"/>
        <v>0</v>
      </c>
      <c r="L66" s="219">
        <f t="shared" si="34"/>
        <v>0</v>
      </c>
      <c r="M66" s="219">
        <f t="shared" si="34"/>
        <v>0</v>
      </c>
      <c r="N66" s="219">
        <f t="shared" si="34"/>
        <v>0</v>
      </c>
      <c r="O66" s="219">
        <f t="shared" si="34"/>
        <v>0</v>
      </c>
      <c r="P66" s="219">
        <f t="shared" si="34"/>
        <v>0</v>
      </c>
      <c r="Q66" s="219">
        <f t="shared" si="34"/>
        <v>0</v>
      </c>
      <c r="R66" s="219">
        <f t="shared" si="34"/>
        <v>0</v>
      </c>
      <c r="S66" s="111">
        <f t="shared" si="10"/>
        <v>0</v>
      </c>
      <c r="T66" s="92"/>
      <c r="U66" s="92"/>
      <c r="V66" s="92"/>
      <c r="W66" s="92"/>
      <c r="X66" s="92"/>
      <c r="Y66" s="92"/>
    </row>
    <row r="67" spans="1:25">
      <c r="A67" s="441"/>
      <c r="B67" s="23">
        <f t="shared" si="12"/>
        <v>67</v>
      </c>
      <c r="C67" s="468"/>
      <c r="D67" s="469"/>
      <c r="E67" s="469"/>
      <c r="F67" s="164" t="s">
        <v>467</v>
      </c>
      <c r="G67" s="219">
        <f>MIN(8000,G31*1)</f>
        <v>0</v>
      </c>
      <c r="H67" s="219">
        <f t="shared" ref="H67:R67" si="35">MIN(8000,H31*1)</f>
        <v>0</v>
      </c>
      <c r="I67" s="219">
        <f t="shared" si="35"/>
        <v>0</v>
      </c>
      <c r="J67" s="219">
        <f t="shared" si="35"/>
        <v>0</v>
      </c>
      <c r="K67" s="219">
        <f t="shared" si="35"/>
        <v>0</v>
      </c>
      <c r="L67" s="219">
        <f t="shared" si="35"/>
        <v>0</v>
      </c>
      <c r="M67" s="219">
        <f t="shared" si="35"/>
        <v>0</v>
      </c>
      <c r="N67" s="219">
        <f t="shared" si="35"/>
        <v>0</v>
      </c>
      <c r="O67" s="219">
        <f t="shared" si="35"/>
        <v>0</v>
      </c>
      <c r="P67" s="219">
        <f t="shared" si="35"/>
        <v>0</v>
      </c>
      <c r="Q67" s="219">
        <f t="shared" si="35"/>
        <v>0</v>
      </c>
      <c r="R67" s="219">
        <f t="shared" si="35"/>
        <v>0</v>
      </c>
      <c r="S67" s="111">
        <f t="shared" si="10"/>
        <v>0</v>
      </c>
      <c r="T67" s="92"/>
      <c r="U67" s="92"/>
      <c r="V67" s="92"/>
      <c r="W67" s="92"/>
      <c r="X67" s="92"/>
      <c r="Y67" s="92"/>
    </row>
    <row r="68" spans="1:25">
      <c r="A68" s="441"/>
      <c r="B68" s="23">
        <f t="shared" si="12"/>
        <v>68</v>
      </c>
      <c r="C68" s="468"/>
      <c r="D68" s="469"/>
      <c r="E68" s="469"/>
      <c r="F68" s="164" t="s">
        <v>470</v>
      </c>
      <c r="G68" s="219">
        <f>ROUND(G32*19*G$6,2)</f>
        <v>0</v>
      </c>
      <c r="H68" s="219">
        <f t="shared" ref="H68:R68" si="36">ROUND(H32*19*H$6,2)</f>
        <v>0</v>
      </c>
      <c r="I68" s="219">
        <f t="shared" si="36"/>
        <v>0</v>
      </c>
      <c r="J68" s="219">
        <f t="shared" si="36"/>
        <v>0</v>
      </c>
      <c r="K68" s="219">
        <f t="shared" si="36"/>
        <v>0</v>
      </c>
      <c r="L68" s="219">
        <f t="shared" si="36"/>
        <v>0</v>
      </c>
      <c r="M68" s="219">
        <f t="shared" si="36"/>
        <v>0</v>
      </c>
      <c r="N68" s="219">
        <f t="shared" si="36"/>
        <v>0</v>
      </c>
      <c r="O68" s="219">
        <f t="shared" si="36"/>
        <v>0</v>
      </c>
      <c r="P68" s="219">
        <f t="shared" si="36"/>
        <v>0</v>
      </c>
      <c r="Q68" s="219">
        <f t="shared" si="36"/>
        <v>0</v>
      </c>
      <c r="R68" s="219">
        <f t="shared" si="36"/>
        <v>0</v>
      </c>
      <c r="S68" s="111">
        <f t="shared" si="10"/>
        <v>0</v>
      </c>
      <c r="T68" s="92"/>
      <c r="U68" s="92"/>
      <c r="V68" s="92"/>
      <c r="W68" s="92"/>
      <c r="X68" s="92"/>
      <c r="Y68" s="92"/>
    </row>
    <row r="69" spans="1:25">
      <c r="A69" s="441"/>
      <c r="B69" s="23">
        <f t="shared" si="12"/>
        <v>69</v>
      </c>
      <c r="C69" s="468"/>
      <c r="D69" s="469"/>
      <c r="E69" s="469"/>
      <c r="F69" s="164" t="s">
        <v>471</v>
      </c>
      <c r="G69" s="219">
        <f t="shared" ref="G69:R69" si="37">IF(G33&gt;0,G33*G$140*25%,0)</f>
        <v>0</v>
      </c>
      <c r="H69" s="219">
        <f t="shared" si="37"/>
        <v>0</v>
      </c>
      <c r="I69" s="219">
        <f t="shared" si="37"/>
        <v>0</v>
      </c>
      <c r="J69" s="219">
        <f t="shared" si="37"/>
        <v>0</v>
      </c>
      <c r="K69" s="219">
        <f t="shared" si="37"/>
        <v>0</v>
      </c>
      <c r="L69" s="219">
        <f t="shared" si="37"/>
        <v>0</v>
      </c>
      <c r="M69" s="219">
        <f t="shared" si="37"/>
        <v>0</v>
      </c>
      <c r="N69" s="219">
        <f t="shared" si="37"/>
        <v>0</v>
      </c>
      <c r="O69" s="219">
        <f t="shared" si="37"/>
        <v>0</v>
      </c>
      <c r="P69" s="219">
        <f t="shared" si="37"/>
        <v>0</v>
      </c>
      <c r="Q69" s="219">
        <f t="shared" si="37"/>
        <v>0</v>
      </c>
      <c r="R69" s="219">
        <f t="shared" si="37"/>
        <v>0</v>
      </c>
      <c r="S69" s="111">
        <f t="shared" si="10"/>
        <v>0</v>
      </c>
      <c r="T69" s="92"/>
      <c r="U69" s="92"/>
      <c r="V69" s="92"/>
      <c r="W69" s="92"/>
      <c r="X69" s="92"/>
      <c r="Y69" s="92"/>
    </row>
    <row r="70" spans="1:25">
      <c r="A70" s="441"/>
      <c r="B70" s="23">
        <f t="shared" si="12"/>
        <v>70</v>
      </c>
      <c r="C70" s="468"/>
      <c r="D70" s="469"/>
      <c r="E70" s="469"/>
      <c r="F70" s="164" t="s">
        <v>472</v>
      </c>
      <c r="G70" s="219">
        <f>IF(G34&gt;0,G34*G$140*50%,0)</f>
        <v>0</v>
      </c>
      <c r="H70" s="219">
        <f t="shared" ref="H70:R70" si="38">IF(H34&gt;0,H34*H$140*50%,0)</f>
        <v>0</v>
      </c>
      <c r="I70" s="219">
        <f t="shared" si="38"/>
        <v>0</v>
      </c>
      <c r="J70" s="219">
        <f t="shared" si="38"/>
        <v>0</v>
      </c>
      <c r="K70" s="219">
        <f t="shared" si="38"/>
        <v>0</v>
      </c>
      <c r="L70" s="219">
        <f t="shared" si="38"/>
        <v>0</v>
      </c>
      <c r="M70" s="219">
        <f t="shared" si="38"/>
        <v>0</v>
      </c>
      <c r="N70" s="219">
        <f t="shared" si="38"/>
        <v>0</v>
      </c>
      <c r="O70" s="219">
        <f t="shared" si="38"/>
        <v>0</v>
      </c>
      <c r="P70" s="219">
        <f t="shared" si="38"/>
        <v>0</v>
      </c>
      <c r="Q70" s="219">
        <f t="shared" si="38"/>
        <v>0</v>
      </c>
      <c r="R70" s="219">
        <f t="shared" si="38"/>
        <v>0</v>
      </c>
      <c r="S70" s="111">
        <f t="shared" si="10"/>
        <v>0</v>
      </c>
      <c r="T70" s="92"/>
      <c r="U70" s="92"/>
      <c r="V70" s="92"/>
      <c r="W70" s="92"/>
      <c r="X70" s="92"/>
      <c r="Y70" s="92"/>
    </row>
    <row r="71" spans="1:25">
      <c r="A71" s="441"/>
      <c r="B71" s="23">
        <f t="shared" si="12"/>
        <v>71</v>
      </c>
      <c r="C71" s="468"/>
      <c r="D71" s="469"/>
      <c r="E71" s="469"/>
      <c r="F71" s="164" t="s">
        <v>544</v>
      </c>
      <c r="G71" s="219">
        <f>IF(G35&gt;0,G35*G$140,0)</f>
        <v>0</v>
      </c>
      <c r="H71" s="219">
        <f t="shared" ref="H71:R71" si="39">IF(H35&gt;0,H35*H$140,0)</f>
        <v>0</v>
      </c>
      <c r="I71" s="219">
        <f t="shared" si="39"/>
        <v>0</v>
      </c>
      <c r="J71" s="219">
        <f t="shared" si="39"/>
        <v>0</v>
      </c>
      <c r="K71" s="219">
        <f t="shared" si="39"/>
        <v>0</v>
      </c>
      <c r="L71" s="219">
        <f t="shared" si="39"/>
        <v>0</v>
      </c>
      <c r="M71" s="219">
        <f t="shared" si="39"/>
        <v>0</v>
      </c>
      <c r="N71" s="219">
        <f t="shared" si="39"/>
        <v>0</v>
      </c>
      <c r="O71" s="219">
        <f t="shared" si="39"/>
        <v>0</v>
      </c>
      <c r="P71" s="219">
        <f t="shared" si="39"/>
        <v>0</v>
      </c>
      <c r="Q71" s="219">
        <f t="shared" si="39"/>
        <v>0</v>
      </c>
      <c r="R71" s="219">
        <f t="shared" si="39"/>
        <v>0</v>
      </c>
      <c r="S71" s="111">
        <f t="shared" si="10"/>
        <v>0</v>
      </c>
      <c r="T71" s="92"/>
      <c r="U71" s="92"/>
      <c r="V71" s="92"/>
      <c r="W71" s="92"/>
      <c r="X71" s="92"/>
      <c r="Y71" s="92"/>
    </row>
    <row r="72" spans="1:25">
      <c r="A72" s="441"/>
      <c r="B72" s="23">
        <f t="shared" si="12"/>
        <v>72</v>
      </c>
      <c r="C72" s="466"/>
      <c r="D72" s="467"/>
      <c r="E72" s="467"/>
      <c r="F72" s="189" t="s">
        <v>463</v>
      </c>
      <c r="G72" s="217">
        <f>SUM(G36:G43)+IF(G31&gt;0,MAX(G31-8000,0),0)</f>
        <v>0</v>
      </c>
      <c r="H72" s="217">
        <f t="shared" ref="H72:R72" si="40">SUM(H36:H43)+IF(H31&gt;0,MAX(H31-8000,0),0)</f>
        <v>0</v>
      </c>
      <c r="I72" s="217">
        <f t="shared" si="40"/>
        <v>0</v>
      </c>
      <c r="J72" s="217">
        <f t="shared" si="40"/>
        <v>0</v>
      </c>
      <c r="K72" s="217">
        <f t="shared" si="40"/>
        <v>0</v>
      </c>
      <c r="L72" s="217">
        <f t="shared" si="40"/>
        <v>0</v>
      </c>
      <c r="M72" s="217">
        <f t="shared" si="40"/>
        <v>0</v>
      </c>
      <c r="N72" s="217">
        <f t="shared" si="40"/>
        <v>0</v>
      </c>
      <c r="O72" s="217">
        <f t="shared" si="40"/>
        <v>0</v>
      </c>
      <c r="P72" s="217">
        <f t="shared" si="40"/>
        <v>0</v>
      </c>
      <c r="Q72" s="217">
        <f t="shared" si="40"/>
        <v>0</v>
      </c>
      <c r="R72" s="217">
        <f t="shared" si="40"/>
        <v>0</v>
      </c>
      <c r="S72" s="112">
        <f t="shared" si="10"/>
        <v>0</v>
      </c>
      <c r="T72" s="92"/>
      <c r="U72" s="92"/>
      <c r="V72" s="92"/>
      <c r="W72" s="92"/>
      <c r="X72" s="92"/>
      <c r="Y72" s="92"/>
    </row>
    <row r="73" spans="1:25" ht="13">
      <c r="A73" s="442"/>
      <c r="B73" s="490">
        <f>B72+1</f>
        <v>73</v>
      </c>
      <c r="C73" s="483"/>
      <c r="D73" s="483"/>
      <c r="E73" s="483"/>
      <c r="F73" s="77" t="s">
        <v>114</v>
      </c>
      <c r="G73" s="218">
        <f t="shared" ref="G73:R73" si="41">SUM(G45:G72)</f>
        <v>0</v>
      </c>
      <c r="H73" s="218">
        <f t="shared" si="41"/>
        <v>0</v>
      </c>
      <c r="I73" s="218">
        <f t="shared" si="41"/>
        <v>0</v>
      </c>
      <c r="J73" s="218">
        <f t="shared" si="41"/>
        <v>0</v>
      </c>
      <c r="K73" s="218">
        <f t="shared" si="41"/>
        <v>0</v>
      </c>
      <c r="L73" s="218">
        <f t="shared" si="41"/>
        <v>0</v>
      </c>
      <c r="M73" s="218">
        <f t="shared" si="41"/>
        <v>0</v>
      </c>
      <c r="N73" s="218">
        <f t="shared" si="41"/>
        <v>0</v>
      </c>
      <c r="O73" s="218">
        <f t="shared" si="41"/>
        <v>0</v>
      </c>
      <c r="P73" s="218">
        <f t="shared" si="41"/>
        <v>0</v>
      </c>
      <c r="Q73" s="218">
        <f t="shared" si="41"/>
        <v>0</v>
      </c>
      <c r="R73" s="218">
        <f t="shared" si="41"/>
        <v>0</v>
      </c>
      <c r="S73" s="84">
        <f t="shared" si="10"/>
        <v>0</v>
      </c>
      <c r="T73" s="92"/>
      <c r="U73" s="92"/>
      <c r="V73" s="92"/>
      <c r="W73" s="92"/>
      <c r="X73" s="92"/>
      <c r="Y73" s="92"/>
    </row>
    <row r="74" spans="1:25" ht="13">
      <c r="A74" s="441"/>
      <c r="B74" s="23">
        <f t="shared" si="12"/>
        <v>74</v>
      </c>
      <c r="C74"/>
      <c r="D74"/>
      <c r="E74"/>
      <c r="F74" s="162" t="s">
        <v>111</v>
      </c>
      <c r="G74" s="108">
        <f t="shared" ref="G74:R74" si="42">ROUND(G45*17.3%/3,2)*(G5="L")</f>
        <v>0</v>
      </c>
      <c r="H74" s="108">
        <f t="shared" si="42"/>
        <v>0</v>
      </c>
      <c r="I74" s="108">
        <f t="shared" si="42"/>
        <v>0</v>
      </c>
      <c r="J74" s="108">
        <f t="shared" si="42"/>
        <v>0</v>
      </c>
      <c r="K74" s="108">
        <f t="shared" si="42"/>
        <v>0</v>
      </c>
      <c r="L74" s="108">
        <f t="shared" si="42"/>
        <v>0</v>
      </c>
      <c r="M74" s="108">
        <f t="shared" si="42"/>
        <v>0</v>
      </c>
      <c r="N74" s="108">
        <f t="shared" si="42"/>
        <v>0</v>
      </c>
      <c r="O74" s="108">
        <f t="shared" si="42"/>
        <v>0</v>
      </c>
      <c r="P74" s="108">
        <f t="shared" si="42"/>
        <v>0</v>
      </c>
      <c r="Q74" s="108">
        <f t="shared" si="42"/>
        <v>0</v>
      </c>
      <c r="R74" s="108">
        <f t="shared" si="42"/>
        <v>0</v>
      </c>
      <c r="S74" s="109">
        <f t="shared" si="10"/>
        <v>0</v>
      </c>
      <c r="T74" s="92"/>
      <c r="U74" s="92"/>
      <c r="V74" s="92"/>
      <c r="W74" s="92"/>
      <c r="X74" s="92"/>
      <c r="Y74" s="92"/>
    </row>
    <row r="75" spans="1:25" ht="13">
      <c r="A75" s="441"/>
      <c r="B75" s="23">
        <f t="shared" si="12"/>
        <v>75</v>
      </c>
      <c r="C75"/>
      <c r="D75"/>
      <c r="E75"/>
      <c r="F75" s="163" t="s">
        <v>196</v>
      </c>
      <c r="G75" s="110">
        <f t="shared" ref="G75:R75" si="43">ROUND(G47*17.3%/3,2)*(G5="L")</f>
        <v>0</v>
      </c>
      <c r="H75" s="110">
        <f t="shared" si="43"/>
        <v>0</v>
      </c>
      <c r="I75" s="110">
        <f t="shared" si="43"/>
        <v>0</v>
      </c>
      <c r="J75" s="110">
        <f t="shared" si="43"/>
        <v>0</v>
      </c>
      <c r="K75" s="110">
        <f t="shared" si="43"/>
        <v>0</v>
      </c>
      <c r="L75" s="110">
        <f t="shared" si="43"/>
        <v>0</v>
      </c>
      <c r="M75" s="110">
        <f t="shared" si="43"/>
        <v>0</v>
      </c>
      <c r="N75" s="110">
        <f t="shared" si="43"/>
        <v>0</v>
      </c>
      <c r="O75" s="110">
        <f t="shared" si="43"/>
        <v>0</v>
      </c>
      <c r="P75" s="110">
        <f t="shared" si="43"/>
        <v>0</v>
      </c>
      <c r="Q75" s="110">
        <f t="shared" si="43"/>
        <v>0</v>
      </c>
      <c r="R75" s="110">
        <f t="shared" si="43"/>
        <v>0</v>
      </c>
      <c r="S75" s="111">
        <f t="shared" si="10"/>
        <v>0</v>
      </c>
      <c r="T75" s="92"/>
      <c r="U75" s="92"/>
      <c r="V75" s="92"/>
      <c r="W75" s="92"/>
      <c r="X75" s="92"/>
      <c r="Y75" s="92"/>
    </row>
    <row r="76" spans="1:25" ht="13">
      <c r="A76" s="441"/>
      <c r="B76" s="23">
        <f t="shared" si="12"/>
        <v>76</v>
      </c>
      <c r="C76"/>
      <c r="D76"/>
      <c r="E76"/>
      <c r="F76" s="163" t="s">
        <v>112</v>
      </c>
      <c r="G76" s="110">
        <f t="shared" ref="G76:R76" si="44">ROUND(G48*17.3%/3,2)</f>
        <v>0</v>
      </c>
      <c r="H76" s="110">
        <f t="shared" si="44"/>
        <v>0</v>
      </c>
      <c r="I76" s="110">
        <f t="shared" si="44"/>
        <v>0</v>
      </c>
      <c r="J76" s="110">
        <f t="shared" si="44"/>
        <v>0</v>
      </c>
      <c r="K76" s="110">
        <f t="shared" si="44"/>
        <v>0</v>
      </c>
      <c r="L76" s="110">
        <f t="shared" si="44"/>
        <v>0</v>
      </c>
      <c r="M76" s="110">
        <f t="shared" si="44"/>
        <v>0</v>
      </c>
      <c r="N76" s="110">
        <f t="shared" si="44"/>
        <v>0</v>
      </c>
      <c r="O76" s="110">
        <f t="shared" si="44"/>
        <v>0</v>
      </c>
      <c r="P76" s="110">
        <f t="shared" si="44"/>
        <v>0</v>
      </c>
      <c r="Q76" s="110">
        <f t="shared" si="44"/>
        <v>0</v>
      </c>
      <c r="R76" s="110">
        <f t="shared" si="44"/>
        <v>0</v>
      </c>
      <c r="S76" s="111">
        <f t="shared" si="10"/>
        <v>0</v>
      </c>
      <c r="T76" s="92"/>
      <c r="U76" s="92"/>
      <c r="V76" s="92"/>
      <c r="W76" s="92"/>
      <c r="X76" s="92"/>
      <c r="Y76" s="92"/>
    </row>
    <row r="77" spans="1:25" ht="13">
      <c r="A77" s="441"/>
      <c r="B77" s="23">
        <f t="shared" si="12"/>
        <v>77</v>
      </c>
      <c r="C77"/>
      <c r="D77">
        <f t="shared" ref="D77:D82" si="45">(D11&lt;&gt;"")*1</f>
        <v>0</v>
      </c>
      <c r="E77"/>
      <c r="F77" s="163" t="s">
        <v>203</v>
      </c>
      <c r="G77" s="110">
        <f t="shared" ref="G77:R77" si="46">ROUND(G49*17.3%/3,2)*OR((G5="L"),(LEFT(G19)="J"))</f>
        <v>0</v>
      </c>
      <c r="H77" s="110">
        <f t="shared" si="46"/>
        <v>0</v>
      </c>
      <c r="I77" s="110">
        <f t="shared" si="46"/>
        <v>0</v>
      </c>
      <c r="J77" s="110">
        <f t="shared" si="46"/>
        <v>0</v>
      </c>
      <c r="K77" s="110">
        <f t="shared" si="46"/>
        <v>0</v>
      </c>
      <c r="L77" s="110">
        <f t="shared" si="46"/>
        <v>0</v>
      </c>
      <c r="M77" s="110">
        <f t="shared" si="46"/>
        <v>0</v>
      </c>
      <c r="N77" s="110">
        <f t="shared" si="46"/>
        <v>0</v>
      </c>
      <c r="O77" s="110">
        <f t="shared" si="46"/>
        <v>0</v>
      </c>
      <c r="P77" s="110">
        <f t="shared" si="46"/>
        <v>0</v>
      </c>
      <c r="Q77" s="110">
        <f t="shared" si="46"/>
        <v>0</v>
      </c>
      <c r="R77" s="110">
        <f t="shared" si="46"/>
        <v>0</v>
      </c>
      <c r="S77" s="111">
        <f t="shared" si="10"/>
        <v>0</v>
      </c>
      <c r="T77" s="92"/>
      <c r="U77" s="92"/>
      <c r="V77" s="92"/>
      <c r="W77" s="92"/>
      <c r="X77" s="92"/>
      <c r="Y77" s="92"/>
    </row>
    <row r="78" spans="1:25" ht="13">
      <c r="A78" s="441"/>
      <c r="B78" s="23">
        <f t="shared" si="12"/>
        <v>78</v>
      </c>
      <c r="C78"/>
      <c r="D78">
        <f t="shared" si="45"/>
        <v>0</v>
      </c>
      <c r="E78"/>
      <c r="F78" s="163" t="s">
        <v>204</v>
      </c>
      <c r="G78" s="110">
        <f t="shared" ref="G78:R78" si="47">ROUND(G50*17.3%/3,2)*OR((G5="L"),(LEFT(G19)="J"))</f>
        <v>0</v>
      </c>
      <c r="H78" s="110">
        <f t="shared" si="47"/>
        <v>0</v>
      </c>
      <c r="I78" s="110">
        <f t="shared" si="47"/>
        <v>0</v>
      </c>
      <c r="J78" s="110">
        <f t="shared" si="47"/>
        <v>0</v>
      </c>
      <c r="K78" s="110">
        <f t="shared" si="47"/>
        <v>0</v>
      </c>
      <c r="L78" s="110">
        <f t="shared" si="47"/>
        <v>0</v>
      </c>
      <c r="M78" s="110">
        <f t="shared" si="47"/>
        <v>0</v>
      </c>
      <c r="N78" s="110">
        <f t="shared" si="47"/>
        <v>0</v>
      </c>
      <c r="O78" s="110">
        <f t="shared" si="47"/>
        <v>0</v>
      </c>
      <c r="P78" s="110">
        <f t="shared" si="47"/>
        <v>0</v>
      </c>
      <c r="Q78" s="110">
        <f t="shared" si="47"/>
        <v>0</v>
      </c>
      <c r="R78" s="110">
        <f t="shared" si="47"/>
        <v>0</v>
      </c>
      <c r="S78" s="111">
        <f t="shared" si="10"/>
        <v>0</v>
      </c>
      <c r="T78" s="92"/>
      <c r="U78" s="92"/>
      <c r="V78" s="92"/>
      <c r="W78" s="92"/>
      <c r="X78" s="92"/>
      <c r="Y78" s="92"/>
    </row>
    <row r="79" spans="1:25" ht="13">
      <c r="A79" s="441"/>
      <c r="B79" s="23">
        <f t="shared" si="12"/>
        <v>79</v>
      </c>
      <c r="C79"/>
      <c r="D79">
        <f t="shared" si="45"/>
        <v>0</v>
      </c>
      <c r="E79"/>
      <c r="F79" s="163" t="s">
        <v>64</v>
      </c>
      <c r="G79" s="110">
        <f t="shared" ref="G79:R79" si="48">ROUND(G51*17.3%/3,2)*OR((G5="L"),(LEFT(G19)="J"))</f>
        <v>0</v>
      </c>
      <c r="H79" s="110">
        <f t="shared" si="48"/>
        <v>0</v>
      </c>
      <c r="I79" s="110">
        <f t="shared" si="48"/>
        <v>0</v>
      </c>
      <c r="J79" s="110">
        <f t="shared" si="48"/>
        <v>0</v>
      </c>
      <c r="K79" s="110">
        <f t="shared" si="48"/>
        <v>0</v>
      </c>
      <c r="L79" s="110">
        <f t="shared" si="48"/>
        <v>0</v>
      </c>
      <c r="M79" s="110">
        <f t="shared" si="48"/>
        <v>0</v>
      </c>
      <c r="N79" s="110">
        <f t="shared" si="48"/>
        <v>0</v>
      </c>
      <c r="O79" s="110">
        <f t="shared" si="48"/>
        <v>0</v>
      </c>
      <c r="P79" s="110">
        <f t="shared" si="48"/>
        <v>0</v>
      </c>
      <c r="Q79" s="110">
        <f t="shared" si="48"/>
        <v>0</v>
      </c>
      <c r="R79" s="110">
        <f t="shared" si="48"/>
        <v>0</v>
      </c>
      <c r="S79" s="111">
        <f t="shared" si="10"/>
        <v>0</v>
      </c>
      <c r="T79" s="92"/>
      <c r="U79" s="92"/>
      <c r="V79" s="92"/>
      <c r="W79" s="92"/>
      <c r="X79" s="92"/>
      <c r="Y79" s="92"/>
    </row>
    <row r="80" spans="1:25" ht="13">
      <c r="A80" s="441"/>
      <c r="B80" s="23">
        <f t="shared" si="12"/>
        <v>80</v>
      </c>
      <c r="C80"/>
      <c r="D80">
        <f t="shared" si="45"/>
        <v>1</v>
      </c>
      <c r="E80"/>
      <c r="F80" s="163" t="s">
        <v>65</v>
      </c>
      <c r="G80" s="110">
        <f t="shared" ref="G80:R80" si="49">ROUND(G52*17.3%/3,2)*OR((G5="L"),(LEFT(G19)="J"))</f>
        <v>0</v>
      </c>
      <c r="H80" s="110">
        <f t="shared" si="49"/>
        <v>0</v>
      </c>
      <c r="I80" s="110">
        <f t="shared" si="49"/>
        <v>0</v>
      </c>
      <c r="J80" s="110">
        <f t="shared" si="49"/>
        <v>0</v>
      </c>
      <c r="K80" s="110">
        <f t="shared" si="49"/>
        <v>0</v>
      </c>
      <c r="L80" s="110">
        <f t="shared" si="49"/>
        <v>0</v>
      </c>
      <c r="M80" s="110">
        <f t="shared" si="49"/>
        <v>0</v>
      </c>
      <c r="N80" s="110">
        <f t="shared" si="49"/>
        <v>0</v>
      </c>
      <c r="O80" s="110">
        <f t="shared" si="49"/>
        <v>0</v>
      </c>
      <c r="P80" s="110">
        <f t="shared" si="49"/>
        <v>0</v>
      </c>
      <c r="Q80" s="110">
        <f t="shared" si="49"/>
        <v>0</v>
      </c>
      <c r="R80" s="110">
        <f t="shared" si="49"/>
        <v>0</v>
      </c>
      <c r="S80" s="111">
        <f t="shared" si="10"/>
        <v>0</v>
      </c>
      <c r="T80" s="92"/>
      <c r="U80" s="92"/>
      <c r="V80" s="92"/>
      <c r="W80" s="92"/>
      <c r="X80" s="92"/>
      <c r="Y80" s="92"/>
    </row>
    <row r="81" spans="1:25" ht="13">
      <c r="A81" s="441"/>
      <c r="B81" s="23">
        <f t="shared" si="12"/>
        <v>81</v>
      </c>
      <c r="C81"/>
      <c r="D81">
        <f t="shared" si="45"/>
        <v>0</v>
      </c>
      <c r="E81"/>
      <c r="F81" s="163" t="s">
        <v>66</v>
      </c>
      <c r="G81" s="110">
        <f t="shared" ref="G81:R81" si="50">ROUND(G53*17.3%/3,2)*OR((G5="L"),(LEFT(G19)="J"))</f>
        <v>0</v>
      </c>
      <c r="H81" s="110">
        <f t="shared" si="50"/>
        <v>0</v>
      </c>
      <c r="I81" s="110">
        <f t="shared" si="50"/>
        <v>0</v>
      </c>
      <c r="J81" s="110">
        <f t="shared" si="50"/>
        <v>0</v>
      </c>
      <c r="K81" s="110">
        <f t="shared" si="50"/>
        <v>0</v>
      </c>
      <c r="L81" s="110">
        <f t="shared" si="50"/>
        <v>0</v>
      </c>
      <c r="M81" s="110">
        <f t="shared" si="50"/>
        <v>0</v>
      </c>
      <c r="N81" s="110">
        <f t="shared" si="50"/>
        <v>0</v>
      </c>
      <c r="O81" s="110">
        <f t="shared" si="50"/>
        <v>0</v>
      </c>
      <c r="P81" s="110">
        <f t="shared" si="50"/>
        <v>0</v>
      </c>
      <c r="Q81" s="110">
        <f t="shared" si="50"/>
        <v>0</v>
      </c>
      <c r="R81" s="110">
        <f t="shared" si="50"/>
        <v>0</v>
      </c>
      <c r="S81" s="111">
        <f t="shared" si="10"/>
        <v>0</v>
      </c>
      <c r="T81" s="92"/>
      <c r="U81" s="92"/>
      <c r="V81" s="92"/>
      <c r="W81" s="92"/>
      <c r="X81" s="92"/>
      <c r="Y81" s="92"/>
    </row>
    <row r="82" spans="1:25" ht="13">
      <c r="A82" s="441"/>
      <c r="B82" s="23">
        <f t="shared" si="12"/>
        <v>82</v>
      </c>
      <c r="C82"/>
      <c r="D82">
        <f t="shared" si="45"/>
        <v>0</v>
      </c>
      <c r="E82"/>
      <c r="F82" s="163" t="s">
        <v>67</v>
      </c>
      <c r="G82" s="110">
        <f t="shared" ref="G82:R82" si="51">ROUND(G54*17.3%/3,2)*OR((G5="L"),(LEFT(G19)="J"))</f>
        <v>0</v>
      </c>
      <c r="H82" s="110">
        <f t="shared" si="51"/>
        <v>0</v>
      </c>
      <c r="I82" s="110">
        <f t="shared" si="51"/>
        <v>0</v>
      </c>
      <c r="J82" s="110">
        <f t="shared" si="51"/>
        <v>0</v>
      </c>
      <c r="K82" s="110">
        <f t="shared" si="51"/>
        <v>0</v>
      </c>
      <c r="L82" s="110">
        <f t="shared" si="51"/>
        <v>0</v>
      </c>
      <c r="M82" s="110">
        <f t="shared" si="51"/>
        <v>0</v>
      </c>
      <c r="N82" s="110">
        <f t="shared" si="51"/>
        <v>0</v>
      </c>
      <c r="O82" s="110">
        <f t="shared" si="51"/>
        <v>0</v>
      </c>
      <c r="P82" s="110">
        <f t="shared" si="51"/>
        <v>0</v>
      </c>
      <c r="Q82" s="110">
        <f t="shared" si="51"/>
        <v>0</v>
      </c>
      <c r="R82" s="110">
        <f t="shared" si="51"/>
        <v>0</v>
      </c>
      <c r="S82" s="111">
        <f t="shared" si="10"/>
        <v>0</v>
      </c>
      <c r="T82" s="92"/>
      <c r="U82" s="92"/>
      <c r="V82" s="92"/>
      <c r="W82" s="92"/>
      <c r="X82" s="92"/>
      <c r="Y82" s="92"/>
    </row>
    <row r="83" spans="1:25" ht="13">
      <c r="A83" s="441"/>
      <c r="B83" s="23">
        <f t="shared" si="12"/>
        <v>83</v>
      </c>
      <c r="C83"/>
      <c r="D83"/>
      <c r="E83"/>
      <c r="F83" s="163" t="s">
        <v>368</v>
      </c>
      <c r="G83" s="110">
        <f t="shared" ref="G83:R83" si="52">ROUND(G55*17.3%/3,2)*OR((G5="L"),(LEFT(G$19)="J"))</f>
        <v>0</v>
      </c>
      <c r="H83" s="110">
        <f t="shared" si="52"/>
        <v>0</v>
      </c>
      <c r="I83" s="110">
        <f t="shared" si="52"/>
        <v>0</v>
      </c>
      <c r="J83" s="110">
        <f t="shared" si="52"/>
        <v>0</v>
      </c>
      <c r="K83" s="110">
        <f t="shared" si="52"/>
        <v>0</v>
      </c>
      <c r="L83" s="110">
        <f t="shared" si="52"/>
        <v>0</v>
      </c>
      <c r="M83" s="110">
        <f t="shared" si="52"/>
        <v>0</v>
      </c>
      <c r="N83" s="110">
        <f t="shared" si="52"/>
        <v>0</v>
      </c>
      <c r="O83" s="110">
        <f t="shared" si="52"/>
        <v>0</v>
      </c>
      <c r="P83" s="110">
        <f t="shared" si="52"/>
        <v>0</v>
      </c>
      <c r="Q83" s="110">
        <f t="shared" si="52"/>
        <v>0</v>
      </c>
      <c r="R83" s="110">
        <f t="shared" si="52"/>
        <v>0</v>
      </c>
      <c r="S83" s="111">
        <f>SUM(G83:R83)</f>
        <v>0</v>
      </c>
      <c r="T83" s="92"/>
      <c r="U83" s="92"/>
      <c r="V83" s="92"/>
      <c r="W83" s="92"/>
      <c r="X83" s="92"/>
      <c r="Y83" s="92"/>
    </row>
    <row r="84" spans="1:25" ht="13">
      <c r="A84" s="441"/>
      <c r="B84" s="23">
        <f t="shared" si="12"/>
        <v>84</v>
      </c>
      <c r="C84"/>
      <c r="D84"/>
      <c r="E84"/>
      <c r="F84" s="163" t="s">
        <v>20</v>
      </c>
      <c r="G84" s="110">
        <f t="shared" ref="G84:R84" si="53">ROUND(G56*17.3%/3,2)*(G5="L")</f>
        <v>0</v>
      </c>
      <c r="H84" s="110">
        <f t="shared" si="53"/>
        <v>0</v>
      </c>
      <c r="I84" s="110">
        <f t="shared" si="53"/>
        <v>0</v>
      </c>
      <c r="J84" s="110">
        <f t="shared" si="53"/>
        <v>0</v>
      </c>
      <c r="K84" s="110">
        <f t="shared" si="53"/>
        <v>0</v>
      </c>
      <c r="L84" s="110">
        <f t="shared" si="53"/>
        <v>0</v>
      </c>
      <c r="M84" s="110">
        <f t="shared" si="53"/>
        <v>0</v>
      </c>
      <c r="N84" s="110">
        <f t="shared" si="53"/>
        <v>0</v>
      </c>
      <c r="O84" s="110">
        <f t="shared" si="53"/>
        <v>0</v>
      </c>
      <c r="P84" s="110">
        <f t="shared" si="53"/>
        <v>0</v>
      </c>
      <c r="Q84" s="110">
        <f t="shared" si="53"/>
        <v>0</v>
      </c>
      <c r="R84" s="110">
        <f t="shared" si="53"/>
        <v>0</v>
      </c>
      <c r="S84" s="111">
        <f t="shared" si="10"/>
        <v>0</v>
      </c>
      <c r="T84" s="92"/>
      <c r="U84" s="92"/>
      <c r="V84" s="92"/>
      <c r="W84" s="92"/>
      <c r="X84" s="92"/>
      <c r="Y84" s="92"/>
    </row>
    <row r="85" spans="1:25" ht="13">
      <c r="A85" s="441"/>
      <c r="B85" s="23">
        <f t="shared" si="12"/>
        <v>85</v>
      </c>
      <c r="C85"/>
      <c r="D85"/>
      <c r="E85"/>
      <c r="F85" s="163" t="s">
        <v>377</v>
      </c>
      <c r="G85" s="110">
        <f>ROUND(G58*17.3%/3,2)</f>
        <v>0</v>
      </c>
      <c r="H85" s="110">
        <f t="shared" ref="H85:R85" si="54">ROUND(H58*17.3%/3,2)</f>
        <v>0</v>
      </c>
      <c r="I85" s="110">
        <f t="shared" si="54"/>
        <v>0</v>
      </c>
      <c r="J85" s="110">
        <f t="shared" si="54"/>
        <v>0</v>
      </c>
      <c r="K85" s="110">
        <f t="shared" si="54"/>
        <v>0</v>
      </c>
      <c r="L85" s="110">
        <f t="shared" si="54"/>
        <v>0</v>
      </c>
      <c r="M85" s="110">
        <f t="shared" si="54"/>
        <v>0</v>
      </c>
      <c r="N85" s="110">
        <f t="shared" si="54"/>
        <v>0</v>
      </c>
      <c r="O85" s="110">
        <f t="shared" si="54"/>
        <v>0</v>
      </c>
      <c r="P85" s="110">
        <f t="shared" si="54"/>
        <v>0</v>
      </c>
      <c r="Q85" s="110">
        <f t="shared" si="54"/>
        <v>0</v>
      </c>
      <c r="R85" s="110">
        <f t="shared" si="54"/>
        <v>0</v>
      </c>
      <c r="S85" s="111">
        <f t="shared" si="10"/>
        <v>0</v>
      </c>
      <c r="T85" s="92"/>
      <c r="U85" s="92"/>
      <c r="V85" s="92"/>
      <c r="W85" s="92"/>
      <c r="X85" s="92"/>
      <c r="Y85" s="92"/>
    </row>
    <row r="86" spans="1:25" ht="13">
      <c r="A86" s="441"/>
      <c r="B86" s="23">
        <f t="shared" si="12"/>
        <v>86</v>
      </c>
      <c r="C86"/>
      <c r="D86"/>
      <c r="E86"/>
      <c r="F86" s="163" t="s">
        <v>478</v>
      </c>
      <c r="G86" s="493">
        <f t="shared" ref="G86:R86" si="55">MAX(IF(LEFT(G5)&lt;&gt;"L",ROUND(((SUM(G45:G56)-G46+G58)-ROUND(ROUND(VLOOKUP(IF(LEFT(G4)="B",33,42),Skalalontabel12,7,0)*G6,0)/12*G8*G3,2))*IF(G19="JA",0.7%,18%)/3,2))-IF(G19="NEJ",G76+G85,0),0)</f>
        <v>0</v>
      </c>
      <c r="H86" s="493">
        <f t="shared" si="55"/>
        <v>0</v>
      </c>
      <c r="I86" s="493">
        <f t="shared" si="55"/>
        <v>0</v>
      </c>
      <c r="J86" s="493">
        <f t="shared" si="55"/>
        <v>0</v>
      </c>
      <c r="K86" s="493">
        <f t="shared" si="55"/>
        <v>0</v>
      </c>
      <c r="L86" s="493">
        <f t="shared" si="55"/>
        <v>0</v>
      </c>
      <c r="M86" s="493">
        <f t="shared" si="55"/>
        <v>0</v>
      </c>
      <c r="N86" s="493">
        <f t="shared" si="55"/>
        <v>0</v>
      </c>
      <c r="O86" s="493">
        <f t="shared" si="55"/>
        <v>0</v>
      </c>
      <c r="P86" s="493">
        <f t="shared" si="55"/>
        <v>0</v>
      </c>
      <c r="Q86" s="493">
        <f t="shared" si="55"/>
        <v>0</v>
      </c>
      <c r="R86" s="493">
        <f t="shared" si="55"/>
        <v>0</v>
      </c>
      <c r="S86" s="111">
        <f t="shared" si="10"/>
        <v>0</v>
      </c>
      <c r="T86" s="92"/>
      <c r="U86" s="92"/>
      <c r="V86" s="92"/>
      <c r="W86" s="92"/>
      <c r="X86" s="92"/>
      <c r="Y86" s="92"/>
    </row>
    <row r="87" spans="1:25" ht="13">
      <c r="A87" s="441"/>
      <c r="B87" s="23">
        <f t="shared" si="12"/>
        <v>87</v>
      </c>
      <c r="C87"/>
      <c r="D87"/>
      <c r="E87"/>
      <c r="F87" s="163" t="s">
        <v>263</v>
      </c>
      <c r="G87" s="216">
        <f t="shared" ref="G87:R87" si="56">ROUND(-(G22+G25)*4.62%*SUM(G74:G86),2)</f>
        <v>0</v>
      </c>
      <c r="H87" s="216">
        <f t="shared" si="56"/>
        <v>0</v>
      </c>
      <c r="I87" s="216">
        <f t="shared" si="56"/>
        <v>0</v>
      </c>
      <c r="J87" s="216">
        <f t="shared" si="56"/>
        <v>0</v>
      </c>
      <c r="K87" s="216">
        <f t="shared" si="56"/>
        <v>0</v>
      </c>
      <c r="L87" s="216">
        <f t="shared" si="56"/>
        <v>0</v>
      </c>
      <c r="M87" s="216">
        <f t="shared" si="56"/>
        <v>0</v>
      </c>
      <c r="N87" s="216">
        <f t="shared" si="56"/>
        <v>0</v>
      </c>
      <c r="O87" s="216">
        <f t="shared" si="56"/>
        <v>0</v>
      </c>
      <c r="P87" s="216">
        <f t="shared" si="56"/>
        <v>0</v>
      </c>
      <c r="Q87" s="216">
        <f t="shared" si="56"/>
        <v>0</v>
      </c>
      <c r="R87" s="216">
        <f t="shared" si="56"/>
        <v>0</v>
      </c>
      <c r="S87" s="111">
        <f t="shared" si="10"/>
        <v>0</v>
      </c>
      <c r="T87" s="92"/>
      <c r="U87" s="92"/>
      <c r="V87" s="92"/>
      <c r="W87" s="92"/>
      <c r="X87" s="92"/>
      <c r="Y87" s="92"/>
    </row>
    <row r="88" spans="1:25" ht="13">
      <c r="A88" s="441"/>
      <c r="B88" s="23">
        <f t="shared" si="12"/>
        <v>88</v>
      </c>
      <c r="C88"/>
      <c r="D88"/>
      <c r="E88"/>
      <c r="F88" s="164" t="s">
        <v>43</v>
      </c>
      <c r="G88" s="219">
        <f t="shared" ref="G88:O88" si="57">IF(OR(G63=0,G8=0),0,(G74+G81+G82+G84+G85)/G8*4.62%*(G23-G8)*(G21-G22))</f>
        <v>0</v>
      </c>
      <c r="H88" s="219">
        <f t="shared" si="57"/>
        <v>0</v>
      </c>
      <c r="I88" s="219">
        <f t="shared" si="57"/>
        <v>0</v>
      </c>
      <c r="J88" s="219">
        <f t="shared" si="57"/>
        <v>0</v>
      </c>
      <c r="K88" s="219">
        <f t="shared" si="57"/>
        <v>0</v>
      </c>
      <c r="L88" s="219">
        <f t="shared" si="57"/>
        <v>0</v>
      </c>
      <c r="M88" s="219">
        <f t="shared" si="57"/>
        <v>0</v>
      </c>
      <c r="N88" s="219">
        <f t="shared" si="57"/>
        <v>0</v>
      </c>
      <c r="O88" s="219">
        <f t="shared" si="57"/>
        <v>0</v>
      </c>
      <c r="P88" s="219">
        <f>IF(OR(P63=0,P8=0),0,(P74+P81+P82+P84+P85)/P8*4.62%*(P24-P8)*(P21-P22))</f>
        <v>0</v>
      </c>
      <c r="Q88" s="219">
        <f>IF(OR(Q63=0,Q8=0),0,(Q74+Q81+Q82+Q84+Q85)/Q8*4.62%*(Q24-Q8)*(Q21-Q22))</f>
        <v>0</v>
      </c>
      <c r="R88" s="219">
        <f>IF(OR(R63=0,R8=0),0,(R74+R81+R82+R84+R85)/R8*4.62%*(R24-R8)*(R21-R22))</f>
        <v>0</v>
      </c>
      <c r="S88" s="131">
        <f t="shared" si="10"/>
        <v>0</v>
      </c>
      <c r="T88" s="92"/>
      <c r="U88" s="92"/>
      <c r="V88" s="92"/>
      <c r="W88" s="92"/>
      <c r="X88" s="92"/>
      <c r="Y88" s="92"/>
    </row>
    <row r="89" spans="1:25" ht="14" thickBot="1">
      <c r="A89" s="442"/>
      <c r="B89" s="158">
        <f t="shared" si="12"/>
        <v>89</v>
      </c>
      <c r="C89" s="482"/>
      <c r="D89" s="482"/>
      <c r="E89" s="482"/>
      <c r="F89" s="159" t="s">
        <v>194</v>
      </c>
      <c r="G89" s="220">
        <f>SUM(G74:G88)</f>
        <v>0</v>
      </c>
      <c r="H89" s="160">
        <f t="shared" ref="H89:R89" si="58">SUM(H74:H88)</f>
        <v>0</v>
      </c>
      <c r="I89" s="160">
        <f t="shared" si="58"/>
        <v>0</v>
      </c>
      <c r="J89" s="160">
        <f t="shared" si="58"/>
        <v>0</v>
      </c>
      <c r="K89" s="160">
        <f t="shared" si="58"/>
        <v>0</v>
      </c>
      <c r="L89" s="160">
        <f t="shared" si="58"/>
        <v>0</v>
      </c>
      <c r="M89" s="160">
        <f t="shared" si="58"/>
        <v>0</v>
      </c>
      <c r="N89" s="160">
        <f t="shared" si="58"/>
        <v>0</v>
      </c>
      <c r="O89" s="160">
        <f t="shared" si="58"/>
        <v>0</v>
      </c>
      <c r="P89" s="160">
        <f t="shared" si="58"/>
        <v>0</v>
      </c>
      <c r="Q89" s="160">
        <f t="shared" si="58"/>
        <v>0</v>
      </c>
      <c r="R89" s="160">
        <f t="shared" si="58"/>
        <v>0</v>
      </c>
      <c r="S89" s="161">
        <f t="shared" si="10"/>
        <v>0</v>
      </c>
      <c r="T89" s="92"/>
      <c r="U89" s="92"/>
      <c r="V89" s="92"/>
      <c r="W89" s="92"/>
      <c r="X89" s="92"/>
      <c r="Y89" s="92"/>
    </row>
    <row r="90" spans="1:25" ht="14" thickTop="1">
      <c r="A90" s="443"/>
      <c r="B90" s="23">
        <f>B89+1</f>
        <v>90</v>
      </c>
      <c r="C90"/>
      <c r="D90"/>
      <c r="E90"/>
      <c r="F90" s="190" t="s">
        <v>105</v>
      </c>
      <c r="G90" s="221">
        <f>G102/3</f>
        <v>0</v>
      </c>
      <c r="H90" s="113">
        <f t="shared" ref="H90:R90" si="59">H102/3</f>
        <v>0</v>
      </c>
      <c r="I90" s="113">
        <f t="shared" si="59"/>
        <v>0</v>
      </c>
      <c r="J90" s="113">
        <f t="shared" si="59"/>
        <v>0</v>
      </c>
      <c r="K90" s="113">
        <f t="shared" si="59"/>
        <v>0</v>
      </c>
      <c r="L90" s="113">
        <f t="shared" si="59"/>
        <v>0</v>
      </c>
      <c r="M90" s="113">
        <f t="shared" si="59"/>
        <v>0</v>
      </c>
      <c r="N90" s="113">
        <f t="shared" si="59"/>
        <v>0</v>
      </c>
      <c r="O90" s="113">
        <f t="shared" si="59"/>
        <v>0</v>
      </c>
      <c r="P90" s="113">
        <f t="shared" si="59"/>
        <v>0</v>
      </c>
      <c r="Q90" s="113">
        <f t="shared" si="59"/>
        <v>0</v>
      </c>
      <c r="R90" s="113">
        <f t="shared" si="59"/>
        <v>0</v>
      </c>
      <c r="S90" s="109">
        <f>SUM(G90:R90)</f>
        <v>0</v>
      </c>
      <c r="T90" s="92"/>
      <c r="U90" s="92"/>
      <c r="V90" s="92"/>
      <c r="W90" s="92"/>
      <c r="X90" s="92"/>
      <c r="Y90" s="92"/>
    </row>
    <row r="91" spans="1:25" ht="13">
      <c r="A91" s="443"/>
      <c r="B91" s="23">
        <f>B90+1</f>
        <v>91</v>
      </c>
      <c r="C91"/>
      <c r="D91"/>
      <c r="E91"/>
      <c r="F91" s="190" t="s">
        <v>100</v>
      </c>
      <c r="G91" s="221">
        <f>SUM(G45:G63)+SUM(G68:G72)-G90</f>
        <v>0</v>
      </c>
      <c r="H91" s="113">
        <f t="shared" ref="H91:R91" si="60">SUM(H45:H64)-H90</f>
        <v>0</v>
      </c>
      <c r="I91" s="113">
        <f t="shared" si="60"/>
        <v>0</v>
      </c>
      <c r="J91" s="113">
        <f t="shared" si="60"/>
        <v>0</v>
      </c>
      <c r="K91" s="113">
        <f t="shared" si="60"/>
        <v>0</v>
      </c>
      <c r="L91" s="113">
        <f t="shared" si="60"/>
        <v>0</v>
      </c>
      <c r="M91" s="113">
        <f t="shared" si="60"/>
        <v>0</v>
      </c>
      <c r="N91" s="113">
        <f t="shared" si="60"/>
        <v>0</v>
      </c>
      <c r="O91" s="113">
        <f t="shared" si="60"/>
        <v>0</v>
      </c>
      <c r="P91" s="113">
        <f t="shared" si="60"/>
        <v>0</v>
      </c>
      <c r="Q91" s="113">
        <f t="shared" si="60"/>
        <v>0</v>
      </c>
      <c r="R91" s="113">
        <f t="shared" si="60"/>
        <v>0</v>
      </c>
      <c r="S91" s="109">
        <f>SUM(G91:R91)</f>
        <v>0</v>
      </c>
      <c r="T91" s="92"/>
      <c r="U91" s="92"/>
      <c r="V91" s="92"/>
      <c r="W91" s="92"/>
      <c r="X91" s="92"/>
      <c r="Y91" s="92"/>
    </row>
    <row r="92" spans="1:25" ht="13">
      <c r="A92" s="443"/>
      <c r="B92" s="23">
        <f t="shared" ref="B92:B108" si="61">B91+1</f>
        <v>92</v>
      </c>
      <c r="C92"/>
      <c r="D92"/>
      <c r="E92"/>
      <c r="F92" s="191" t="s">
        <v>101</v>
      </c>
      <c r="G92" s="222">
        <f>ROUND(G91*8%,0)</f>
        <v>0</v>
      </c>
      <c r="H92" s="114">
        <f t="shared" ref="H92:R92" si="62">ROUND(H91*8%,0)</f>
        <v>0</v>
      </c>
      <c r="I92" s="114">
        <f t="shared" si="62"/>
        <v>0</v>
      </c>
      <c r="J92" s="114">
        <f t="shared" si="62"/>
        <v>0</v>
      </c>
      <c r="K92" s="114">
        <f t="shared" si="62"/>
        <v>0</v>
      </c>
      <c r="L92" s="114">
        <f t="shared" si="62"/>
        <v>0</v>
      </c>
      <c r="M92" s="114">
        <f t="shared" si="62"/>
        <v>0</v>
      </c>
      <c r="N92" s="114">
        <f t="shared" si="62"/>
        <v>0</v>
      </c>
      <c r="O92" s="114">
        <f t="shared" si="62"/>
        <v>0</v>
      </c>
      <c r="P92" s="114">
        <f t="shared" si="62"/>
        <v>0</v>
      </c>
      <c r="Q92" s="114">
        <f t="shared" si="62"/>
        <v>0</v>
      </c>
      <c r="R92" s="114">
        <f t="shared" si="62"/>
        <v>0</v>
      </c>
      <c r="S92" s="111">
        <f>SUM(G92:R92)</f>
        <v>0</v>
      </c>
      <c r="T92" s="92"/>
      <c r="U92" s="92"/>
      <c r="V92" s="92"/>
      <c r="W92" s="92"/>
      <c r="X92" s="92"/>
      <c r="Y92" s="92"/>
    </row>
    <row r="93" spans="1:25" ht="13">
      <c r="A93" s="443"/>
      <c r="B93" s="23">
        <f t="shared" si="61"/>
        <v>93</v>
      </c>
      <c r="C93"/>
      <c r="D93"/>
      <c r="E93"/>
      <c r="F93" s="191" t="s">
        <v>102</v>
      </c>
      <c r="G93" s="222">
        <f>G91-G92</f>
        <v>0</v>
      </c>
      <c r="H93" s="114">
        <f t="shared" ref="H93:R93" si="63">H91-H92</f>
        <v>0</v>
      </c>
      <c r="I93" s="114">
        <f t="shared" si="63"/>
        <v>0</v>
      </c>
      <c r="J93" s="114">
        <f t="shared" si="63"/>
        <v>0</v>
      </c>
      <c r="K93" s="114">
        <f t="shared" si="63"/>
        <v>0</v>
      </c>
      <c r="L93" s="114">
        <f t="shared" si="63"/>
        <v>0</v>
      </c>
      <c r="M93" s="114">
        <f t="shared" si="63"/>
        <v>0</v>
      </c>
      <c r="N93" s="114">
        <f t="shared" si="63"/>
        <v>0</v>
      </c>
      <c r="O93" s="114">
        <f t="shared" si="63"/>
        <v>0</v>
      </c>
      <c r="P93" s="114">
        <f t="shared" si="63"/>
        <v>0</v>
      </c>
      <c r="Q93" s="114">
        <f t="shared" si="63"/>
        <v>0</v>
      </c>
      <c r="R93" s="114">
        <f t="shared" si="63"/>
        <v>0</v>
      </c>
      <c r="S93" s="111">
        <f>SUM(G93:R93)</f>
        <v>0</v>
      </c>
      <c r="T93" s="92"/>
      <c r="U93" s="92"/>
      <c r="V93" s="92"/>
      <c r="W93" s="92"/>
      <c r="X93" s="92"/>
      <c r="Y93" s="92"/>
    </row>
    <row r="94" spans="1:25" ht="13">
      <c r="A94" s="443"/>
      <c r="B94" s="23">
        <f t="shared" si="61"/>
        <v>94</v>
      </c>
      <c r="C94"/>
      <c r="D94"/>
      <c r="E94"/>
      <c r="F94" s="191" t="s">
        <v>115</v>
      </c>
      <c r="G94" s="222">
        <f>TRUNC((G93-G27)/10)*10</f>
        <v>0</v>
      </c>
      <c r="H94" s="222">
        <f t="shared" ref="H94:R94" si="64">TRUNC((H93-H27)/10)*10</f>
        <v>0</v>
      </c>
      <c r="I94" s="222">
        <f t="shared" si="64"/>
        <v>0</v>
      </c>
      <c r="J94" s="222">
        <f t="shared" si="64"/>
        <v>0</v>
      </c>
      <c r="K94" s="222">
        <f t="shared" si="64"/>
        <v>0</v>
      </c>
      <c r="L94" s="222">
        <f t="shared" si="64"/>
        <v>0</v>
      </c>
      <c r="M94" s="222">
        <f t="shared" si="64"/>
        <v>0</v>
      </c>
      <c r="N94" s="222">
        <f t="shared" si="64"/>
        <v>0</v>
      </c>
      <c r="O94" s="222">
        <f t="shared" si="64"/>
        <v>0</v>
      </c>
      <c r="P94" s="222">
        <f t="shared" si="64"/>
        <v>0</v>
      </c>
      <c r="Q94" s="222">
        <f t="shared" si="64"/>
        <v>0</v>
      </c>
      <c r="R94" s="222">
        <f t="shared" si="64"/>
        <v>0</v>
      </c>
      <c r="S94" s="111"/>
      <c r="T94" s="92"/>
      <c r="U94" s="92"/>
      <c r="V94" s="92"/>
      <c r="W94" s="92"/>
      <c r="X94" s="92"/>
      <c r="Y94" s="92"/>
    </row>
    <row r="95" spans="1:25" ht="13">
      <c r="A95" s="443"/>
      <c r="B95" s="23">
        <f t="shared" si="61"/>
        <v>95</v>
      </c>
      <c r="C95"/>
      <c r="D95"/>
      <c r="E95"/>
      <c r="F95" s="191" t="s">
        <v>103</v>
      </c>
      <c r="G95" s="222">
        <f>TRUNC(G94*G26/100)</f>
        <v>0</v>
      </c>
      <c r="H95" s="222">
        <f t="shared" ref="H95:R95" si="65">TRUNC(H94*H26/100)</f>
        <v>0</v>
      </c>
      <c r="I95" s="222">
        <f t="shared" si="65"/>
        <v>0</v>
      </c>
      <c r="J95" s="222">
        <f t="shared" si="65"/>
        <v>0</v>
      </c>
      <c r="K95" s="222">
        <f t="shared" si="65"/>
        <v>0</v>
      </c>
      <c r="L95" s="222">
        <f t="shared" si="65"/>
        <v>0</v>
      </c>
      <c r="M95" s="222">
        <f t="shared" si="65"/>
        <v>0</v>
      </c>
      <c r="N95" s="222">
        <f t="shared" si="65"/>
        <v>0</v>
      </c>
      <c r="O95" s="222">
        <f t="shared" si="65"/>
        <v>0</v>
      </c>
      <c r="P95" s="222">
        <f t="shared" si="65"/>
        <v>0</v>
      </c>
      <c r="Q95" s="222">
        <f t="shared" si="65"/>
        <v>0</v>
      </c>
      <c r="R95" s="222">
        <f t="shared" si="65"/>
        <v>0</v>
      </c>
      <c r="S95" s="111">
        <f t="shared" ref="S95:S104" si="66">SUM(G95:R95)</f>
        <v>0</v>
      </c>
      <c r="T95" s="92"/>
      <c r="U95" s="92"/>
      <c r="V95" s="92"/>
      <c r="W95" s="92"/>
      <c r="X95" s="92"/>
      <c r="Y95" s="92"/>
    </row>
    <row r="96" spans="1:25" ht="13">
      <c r="A96" s="243"/>
      <c r="B96" s="23">
        <f t="shared" si="61"/>
        <v>96</v>
      </c>
      <c r="C96"/>
      <c r="D96"/>
      <c r="E96"/>
      <c r="F96" s="191" t="s">
        <v>449</v>
      </c>
      <c r="G96" s="222">
        <f>SUM(G45:G63)+SUM(G68:G72)</f>
        <v>0</v>
      </c>
      <c r="H96" s="222">
        <f t="shared" ref="H96:K96" si="67">SUM(H45:H63)+SUM(H68:H72)</f>
        <v>0</v>
      </c>
      <c r="I96" s="222">
        <f t="shared" si="67"/>
        <v>0</v>
      </c>
      <c r="J96" s="222">
        <f t="shared" si="67"/>
        <v>0</v>
      </c>
      <c r="K96" s="222">
        <f t="shared" si="67"/>
        <v>0</v>
      </c>
      <c r="L96" s="143" t="s">
        <v>220</v>
      </c>
      <c r="M96" s="165"/>
      <c r="N96" s="165"/>
      <c r="O96" s="165"/>
      <c r="P96" s="165"/>
      <c r="Q96" s="165"/>
      <c r="R96" s="165"/>
      <c r="S96" s="111">
        <f>A96+SUM(G96:K96)</f>
        <v>0</v>
      </c>
      <c r="T96" s="92"/>
      <c r="U96" s="92"/>
      <c r="V96" s="92"/>
      <c r="W96" s="92"/>
      <c r="X96" s="92"/>
      <c r="Y96" s="92"/>
    </row>
    <row r="97" spans="1:25" ht="13">
      <c r="A97" s="444"/>
      <c r="B97" s="23">
        <f t="shared" si="61"/>
        <v>97</v>
      </c>
      <c r="C97"/>
      <c r="D97"/>
      <c r="E97"/>
      <c r="F97" s="191" t="s">
        <v>450</v>
      </c>
      <c r="G97" s="144" t="s">
        <v>220</v>
      </c>
      <c r="H97" s="165"/>
      <c r="I97" s="165"/>
      <c r="J97" s="165"/>
      <c r="K97" s="165"/>
      <c r="L97" s="114">
        <f>SUM(L45:L63)+SUM(L68:L72)</f>
        <v>0</v>
      </c>
      <c r="M97" s="114">
        <f t="shared" ref="M97:R97" si="68">SUM(M45:M63)+SUM(M68:M72)</f>
        <v>0</v>
      </c>
      <c r="N97" s="114">
        <f t="shared" si="68"/>
        <v>0</v>
      </c>
      <c r="O97" s="114">
        <f t="shared" si="68"/>
        <v>0</v>
      </c>
      <c r="P97" s="114">
        <f t="shared" si="68"/>
        <v>0</v>
      </c>
      <c r="Q97" s="114">
        <f t="shared" si="68"/>
        <v>0</v>
      </c>
      <c r="R97" s="114">
        <f t="shared" si="68"/>
        <v>0</v>
      </c>
      <c r="S97" s="111">
        <f>SUM(L97:R97)</f>
        <v>0</v>
      </c>
      <c r="T97" s="92"/>
      <c r="U97" s="92"/>
      <c r="V97" s="92"/>
      <c r="W97" s="92"/>
      <c r="X97" s="92"/>
      <c r="Y97" s="92"/>
    </row>
    <row r="98" spans="1:25" ht="13">
      <c r="A98" s="443"/>
      <c r="B98" s="23">
        <f t="shared" si="61"/>
        <v>98</v>
      </c>
      <c r="C98"/>
      <c r="D98"/>
      <c r="E98"/>
      <c r="F98" s="191" t="s">
        <v>193</v>
      </c>
      <c r="G98" s="222">
        <f>G89</f>
        <v>0</v>
      </c>
      <c r="H98" s="114">
        <f t="shared" ref="H98:R98" si="69">H89</f>
        <v>0</v>
      </c>
      <c r="I98" s="114">
        <f t="shared" si="69"/>
        <v>0</v>
      </c>
      <c r="J98" s="114">
        <f t="shared" si="69"/>
        <v>0</v>
      </c>
      <c r="K98" s="114">
        <f t="shared" si="69"/>
        <v>0</v>
      </c>
      <c r="L98" s="114">
        <f t="shared" si="69"/>
        <v>0</v>
      </c>
      <c r="M98" s="114">
        <f t="shared" si="69"/>
        <v>0</v>
      </c>
      <c r="N98" s="114">
        <f t="shared" si="69"/>
        <v>0</v>
      </c>
      <c r="O98" s="114">
        <f t="shared" si="69"/>
        <v>0</v>
      </c>
      <c r="P98" s="114">
        <f t="shared" si="69"/>
        <v>0</v>
      </c>
      <c r="Q98" s="114">
        <f t="shared" si="69"/>
        <v>0</v>
      </c>
      <c r="R98" s="114">
        <f t="shared" si="69"/>
        <v>0</v>
      </c>
      <c r="S98" s="111">
        <f t="shared" si="66"/>
        <v>0</v>
      </c>
      <c r="T98" s="92"/>
      <c r="U98" s="92"/>
      <c r="V98" s="92"/>
      <c r="W98" s="92"/>
      <c r="X98" s="92"/>
      <c r="Y98" s="92"/>
    </row>
    <row r="99" spans="1:25" ht="13">
      <c r="A99" s="443"/>
      <c r="B99" s="23">
        <f t="shared" si="61"/>
        <v>99</v>
      </c>
      <c r="C99"/>
      <c r="D99"/>
      <c r="E99"/>
      <c r="F99" s="191" t="s">
        <v>197</v>
      </c>
      <c r="G99" s="222">
        <f>G98*2</f>
        <v>0</v>
      </c>
      <c r="H99" s="114">
        <f t="shared" ref="H99:R99" si="70">H98*2</f>
        <v>0</v>
      </c>
      <c r="I99" s="114">
        <f t="shared" si="70"/>
        <v>0</v>
      </c>
      <c r="J99" s="114">
        <f t="shared" si="70"/>
        <v>0</v>
      </c>
      <c r="K99" s="114">
        <f t="shared" si="70"/>
        <v>0</v>
      </c>
      <c r="L99" s="114">
        <f t="shared" si="70"/>
        <v>0</v>
      </c>
      <c r="M99" s="114">
        <f t="shared" si="70"/>
        <v>0</v>
      </c>
      <c r="N99" s="114">
        <f t="shared" si="70"/>
        <v>0</v>
      </c>
      <c r="O99" s="114">
        <f t="shared" si="70"/>
        <v>0</v>
      </c>
      <c r="P99" s="114">
        <f t="shared" si="70"/>
        <v>0</v>
      </c>
      <c r="Q99" s="114">
        <f t="shared" si="70"/>
        <v>0</v>
      </c>
      <c r="R99" s="114">
        <f t="shared" si="70"/>
        <v>0</v>
      </c>
      <c r="S99" s="111">
        <f t="shared" si="66"/>
        <v>0</v>
      </c>
      <c r="T99" s="92"/>
      <c r="U99" s="92"/>
      <c r="V99" s="92"/>
      <c r="W99" s="92"/>
      <c r="X99" s="92"/>
      <c r="Y99" s="92"/>
    </row>
    <row r="100" spans="1:25" ht="13">
      <c r="A100" s="443"/>
      <c r="B100" s="23">
        <f t="shared" si="61"/>
        <v>100</v>
      </c>
      <c r="C100"/>
      <c r="D100"/>
      <c r="E100"/>
      <c r="F100" s="191" t="s">
        <v>46</v>
      </c>
      <c r="G100" s="222">
        <f>G102*2/3</f>
        <v>0</v>
      </c>
      <c r="H100" s="114">
        <f t="shared" ref="H100:R100" si="71">H102*2/3</f>
        <v>0</v>
      </c>
      <c r="I100" s="114">
        <f t="shared" si="71"/>
        <v>0</v>
      </c>
      <c r="J100" s="114">
        <f t="shared" si="71"/>
        <v>0</v>
      </c>
      <c r="K100" s="114">
        <f t="shared" si="71"/>
        <v>0</v>
      </c>
      <c r="L100" s="114">
        <f t="shared" si="71"/>
        <v>0</v>
      </c>
      <c r="M100" s="114">
        <f t="shared" si="71"/>
        <v>0</v>
      </c>
      <c r="N100" s="114">
        <f t="shared" si="71"/>
        <v>0</v>
      </c>
      <c r="O100" s="114">
        <f t="shared" si="71"/>
        <v>0</v>
      </c>
      <c r="P100" s="114">
        <f t="shared" si="71"/>
        <v>0</v>
      </c>
      <c r="Q100" s="114">
        <f t="shared" si="71"/>
        <v>0</v>
      </c>
      <c r="R100" s="114">
        <f t="shared" si="71"/>
        <v>0</v>
      </c>
      <c r="S100" s="111">
        <f t="shared" si="66"/>
        <v>0</v>
      </c>
      <c r="T100" s="92"/>
      <c r="U100" s="92"/>
      <c r="V100" s="92"/>
      <c r="W100" s="92"/>
      <c r="X100" s="92"/>
      <c r="Y100" s="92"/>
    </row>
    <row r="101" spans="1:25" ht="13">
      <c r="A101" s="443"/>
      <c r="B101" s="23">
        <f t="shared" si="61"/>
        <v>101</v>
      </c>
      <c r="C101"/>
      <c r="D101"/>
      <c r="E101"/>
      <c r="F101" s="191" t="s">
        <v>120</v>
      </c>
      <c r="G101" s="222">
        <f>G98+G99</f>
        <v>0</v>
      </c>
      <c r="H101" s="114">
        <f t="shared" ref="H101:R101" si="72">H98+H99</f>
        <v>0</v>
      </c>
      <c r="I101" s="114">
        <f t="shared" si="72"/>
        <v>0</v>
      </c>
      <c r="J101" s="114">
        <f t="shared" si="72"/>
        <v>0</v>
      </c>
      <c r="K101" s="114">
        <f t="shared" si="72"/>
        <v>0</v>
      </c>
      <c r="L101" s="114">
        <f t="shared" si="72"/>
        <v>0</v>
      </c>
      <c r="M101" s="114">
        <f t="shared" si="72"/>
        <v>0</v>
      </c>
      <c r="N101" s="114">
        <f t="shared" si="72"/>
        <v>0</v>
      </c>
      <c r="O101" s="114">
        <f t="shared" si="72"/>
        <v>0</v>
      </c>
      <c r="P101" s="114">
        <f t="shared" si="72"/>
        <v>0</v>
      </c>
      <c r="Q101" s="114">
        <f t="shared" si="72"/>
        <v>0</v>
      </c>
      <c r="R101" s="114">
        <f t="shared" si="72"/>
        <v>0</v>
      </c>
      <c r="S101" s="111">
        <f t="shared" si="66"/>
        <v>0</v>
      </c>
      <c r="T101" s="92"/>
      <c r="U101" s="92"/>
      <c r="V101" s="92"/>
      <c r="W101" s="92"/>
      <c r="X101" s="92"/>
      <c r="Y101" s="92"/>
    </row>
    <row r="102" spans="1:25" ht="13">
      <c r="A102" s="443"/>
      <c r="B102" s="23">
        <f t="shared" si="61"/>
        <v>102</v>
      </c>
      <c r="C102"/>
      <c r="D102"/>
      <c r="E102"/>
      <c r="F102" s="191" t="s">
        <v>121</v>
      </c>
      <c r="G102" s="222">
        <f t="shared" ref="G102:R102" si="73">90*(((G8*G3)&gt;=9/37)+((G8*G3)&gt;=18/37)+((G8*G3)&gt;=27/37))</f>
        <v>0</v>
      </c>
      <c r="H102" s="222">
        <f t="shared" si="73"/>
        <v>0</v>
      </c>
      <c r="I102" s="222">
        <f t="shared" si="73"/>
        <v>0</v>
      </c>
      <c r="J102" s="222">
        <f t="shared" si="73"/>
        <v>0</v>
      </c>
      <c r="K102" s="222">
        <f t="shared" si="73"/>
        <v>0</v>
      </c>
      <c r="L102" s="114">
        <f t="shared" si="73"/>
        <v>0</v>
      </c>
      <c r="M102" s="114">
        <f t="shared" si="73"/>
        <v>0</v>
      </c>
      <c r="N102" s="114">
        <f t="shared" si="73"/>
        <v>0</v>
      </c>
      <c r="O102" s="114">
        <f t="shared" si="73"/>
        <v>0</v>
      </c>
      <c r="P102" s="114">
        <f t="shared" si="73"/>
        <v>0</v>
      </c>
      <c r="Q102" s="114">
        <f t="shared" si="73"/>
        <v>0</v>
      </c>
      <c r="R102" s="114">
        <f t="shared" si="73"/>
        <v>0</v>
      </c>
      <c r="S102" s="111">
        <f t="shared" si="66"/>
        <v>0</v>
      </c>
      <c r="T102" s="92"/>
      <c r="U102" s="92"/>
      <c r="V102" s="92"/>
      <c r="W102" s="92"/>
      <c r="X102" s="92"/>
      <c r="Y102" s="92"/>
    </row>
    <row r="103" spans="1:25" ht="13">
      <c r="A103" s="443"/>
      <c r="B103" s="23">
        <f t="shared" si="61"/>
        <v>103</v>
      </c>
      <c r="C103"/>
      <c r="D103"/>
      <c r="E103"/>
      <c r="F103" s="191" t="s">
        <v>144</v>
      </c>
      <c r="G103" s="222">
        <f t="shared" ref="G103:R103" si="74">IF(OR(LEFT(G5)="P",LEFT(G5)="E"),ROUND(ROUND(ROUND(VLOOKUP(VALUE(MID(G5,2,2)),Skalalontabel12,7,0)*G6,0)/12,2)*15%*MIN(1,G8)*G3,2),0)</f>
        <v>0</v>
      </c>
      <c r="H103" s="222">
        <f t="shared" si="74"/>
        <v>0</v>
      </c>
      <c r="I103" s="222">
        <f t="shared" si="74"/>
        <v>0</v>
      </c>
      <c r="J103" s="222">
        <f t="shared" si="74"/>
        <v>0</v>
      </c>
      <c r="K103" s="222">
        <f t="shared" si="74"/>
        <v>0</v>
      </c>
      <c r="L103" s="222">
        <f t="shared" si="74"/>
        <v>0</v>
      </c>
      <c r="M103" s="222">
        <f t="shared" si="74"/>
        <v>0</v>
      </c>
      <c r="N103" s="222">
        <f t="shared" si="74"/>
        <v>0</v>
      </c>
      <c r="O103" s="222">
        <f t="shared" si="74"/>
        <v>0</v>
      </c>
      <c r="P103" s="222">
        <f t="shared" si="74"/>
        <v>0</v>
      </c>
      <c r="Q103" s="222">
        <f t="shared" si="74"/>
        <v>0</v>
      </c>
      <c r="R103" s="222">
        <f t="shared" si="74"/>
        <v>0</v>
      </c>
      <c r="S103" s="111">
        <f t="shared" si="66"/>
        <v>0</v>
      </c>
      <c r="T103" s="92"/>
      <c r="U103" s="92"/>
      <c r="V103" s="92"/>
      <c r="W103" s="92"/>
      <c r="X103" s="92"/>
      <c r="Y103" s="92"/>
    </row>
    <row r="104" spans="1:25" ht="13">
      <c r="A104" s="443"/>
      <c r="B104" s="23">
        <f t="shared" si="61"/>
        <v>104</v>
      </c>
      <c r="C104"/>
      <c r="D104"/>
      <c r="E104"/>
      <c r="F104" s="191" t="s">
        <v>104</v>
      </c>
      <c r="G104" s="114">
        <f t="shared" ref="G104:R104" si="75">108.35*(G8&gt;0)</f>
        <v>0</v>
      </c>
      <c r="H104" s="114">
        <f t="shared" si="75"/>
        <v>0</v>
      </c>
      <c r="I104" s="114">
        <f t="shared" si="75"/>
        <v>0</v>
      </c>
      <c r="J104" s="114">
        <f t="shared" si="75"/>
        <v>0</v>
      </c>
      <c r="K104" s="114">
        <f t="shared" si="75"/>
        <v>0</v>
      </c>
      <c r="L104" s="114">
        <f t="shared" si="75"/>
        <v>0</v>
      </c>
      <c r="M104" s="114">
        <f t="shared" si="75"/>
        <v>0</v>
      </c>
      <c r="N104" s="114">
        <f t="shared" si="75"/>
        <v>0</v>
      </c>
      <c r="O104" s="114">
        <f t="shared" si="75"/>
        <v>0</v>
      </c>
      <c r="P104" s="114">
        <f t="shared" si="75"/>
        <v>0</v>
      </c>
      <c r="Q104" s="114">
        <f t="shared" si="75"/>
        <v>0</v>
      </c>
      <c r="R104" s="114">
        <f t="shared" si="75"/>
        <v>0</v>
      </c>
      <c r="S104" s="111">
        <f t="shared" si="66"/>
        <v>0</v>
      </c>
      <c r="T104" s="92"/>
      <c r="U104" s="92"/>
      <c r="V104" s="92"/>
      <c r="W104" s="92"/>
      <c r="X104" s="92"/>
      <c r="Y104" s="92"/>
    </row>
    <row r="105" spans="1:25" ht="13">
      <c r="A105" s="443"/>
      <c r="B105" s="23">
        <f t="shared" si="61"/>
        <v>105</v>
      </c>
      <c r="C105"/>
      <c r="D105"/>
      <c r="E105"/>
      <c r="F105" s="192" t="s">
        <v>228</v>
      </c>
      <c r="G105" s="223">
        <f>G73-(G95+G90+G92+G104)</f>
        <v>0</v>
      </c>
      <c r="H105" s="223">
        <f t="shared" ref="H105:R105" si="76">H73-(H95+H90+H92+H104)</f>
        <v>0</v>
      </c>
      <c r="I105" s="223">
        <f t="shared" si="76"/>
        <v>0</v>
      </c>
      <c r="J105" s="223">
        <f t="shared" si="76"/>
        <v>0</v>
      </c>
      <c r="K105" s="223">
        <f t="shared" si="76"/>
        <v>0</v>
      </c>
      <c r="L105" s="223">
        <f t="shared" si="76"/>
        <v>0</v>
      </c>
      <c r="M105" s="223">
        <f t="shared" si="76"/>
        <v>0</v>
      </c>
      <c r="N105" s="223">
        <f t="shared" si="76"/>
        <v>0</v>
      </c>
      <c r="O105" s="223">
        <f t="shared" si="76"/>
        <v>0</v>
      </c>
      <c r="P105" s="223">
        <f t="shared" si="76"/>
        <v>0</v>
      </c>
      <c r="Q105" s="223">
        <f t="shared" si="76"/>
        <v>0</v>
      </c>
      <c r="R105" s="223">
        <f t="shared" si="76"/>
        <v>0</v>
      </c>
      <c r="S105" s="119">
        <f>SUM(G105:R105)</f>
        <v>0</v>
      </c>
      <c r="T105" s="92"/>
      <c r="U105" s="91"/>
      <c r="V105" s="92"/>
      <c r="W105" s="92"/>
      <c r="X105" s="92"/>
      <c r="Y105" s="92"/>
    </row>
    <row r="106" spans="1:25" ht="13">
      <c r="A106" s="244"/>
      <c r="B106" s="23">
        <f t="shared" si="61"/>
        <v>106</v>
      </c>
      <c r="C106"/>
      <c r="D106"/>
      <c r="E106"/>
      <c r="F106" s="121" t="s">
        <v>373</v>
      </c>
      <c r="G106" s="142">
        <f>(G96+G89)*(1-12/260*G21)</f>
        <v>0</v>
      </c>
      <c r="H106" s="142">
        <f t="shared" ref="H106:K106" si="77">(H96+H89)*(1-12/260*H21)</f>
        <v>0</v>
      </c>
      <c r="I106" s="142">
        <f t="shared" si="77"/>
        <v>0</v>
      </c>
      <c r="J106" s="142">
        <f t="shared" si="77"/>
        <v>0</v>
      </c>
      <c r="K106" s="142">
        <f t="shared" si="77"/>
        <v>0</v>
      </c>
      <c r="L106" s="143" t="s">
        <v>233</v>
      </c>
      <c r="M106" s="123"/>
      <c r="N106" s="123"/>
      <c r="O106" s="123"/>
      <c r="P106" s="123"/>
      <c r="Q106" s="123"/>
      <c r="R106" s="123"/>
      <c r="S106" s="111">
        <f>A106+SUM(G106:K106)</f>
        <v>0</v>
      </c>
      <c r="T106" s="92"/>
      <c r="U106" s="130"/>
      <c r="V106" s="92"/>
      <c r="W106" s="92"/>
      <c r="X106" s="92"/>
      <c r="Y106" s="92"/>
    </row>
    <row r="107" spans="1:25" ht="13">
      <c r="A107" s="444"/>
      <c r="B107" s="434">
        <f t="shared" si="61"/>
        <v>107</v>
      </c>
      <c r="C107"/>
      <c r="D107"/>
      <c r="E107"/>
      <c r="F107" s="193" t="s">
        <v>374</v>
      </c>
      <c r="G107" s="144" t="s">
        <v>233</v>
      </c>
      <c r="H107" s="139"/>
      <c r="I107" s="139"/>
      <c r="J107" s="139"/>
      <c r="K107" s="141"/>
      <c r="L107" s="142">
        <f>(L97+L89)*(1-12/260*L21)</f>
        <v>0</v>
      </c>
      <c r="M107" s="142">
        <f t="shared" ref="M107:R107" si="78">(M97+M89)*(1-12/260*M21)</f>
        <v>0</v>
      </c>
      <c r="N107" s="142">
        <f t="shared" si="78"/>
        <v>0</v>
      </c>
      <c r="O107" s="142">
        <f t="shared" si="78"/>
        <v>0</v>
      </c>
      <c r="P107" s="142">
        <f t="shared" si="78"/>
        <v>0</v>
      </c>
      <c r="Q107" s="142">
        <f t="shared" si="78"/>
        <v>0</v>
      </c>
      <c r="R107" s="142">
        <f t="shared" si="78"/>
        <v>0</v>
      </c>
      <c r="S107" s="145">
        <f>SUM(L107:R107)</f>
        <v>0</v>
      </c>
      <c r="T107" s="92"/>
      <c r="U107" s="130"/>
      <c r="V107" s="92"/>
      <c r="W107" s="92"/>
      <c r="X107" s="92"/>
      <c r="Y107" s="92"/>
    </row>
    <row r="108" spans="1:25" s="124" customFormat="1" ht="13">
      <c r="A108" s="445"/>
      <c r="B108" s="23">
        <f t="shared" si="61"/>
        <v>108</v>
      </c>
      <c r="C108"/>
      <c r="D108"/>
      <c r="E108"/>
      <c r="F108" s="136" t="s">
        <v>234</v>
      </c>
      <c r="G108" s="224">
        <f t="shared" ref="G108:R108" si="79">IF(G8&gt;0,(G45+G46+G49*$D49+G50*$D50+G51*$D51+G52*$D52+G53*$D53+G54*$D54+G55+G56+G57+G58+G60*$D60)/G8/G3,0)</f>
        <v>0</v>
      </c>
      <c r="H108" s="224">
        <f t="shared" si="79"/>
        <v>0</v>
      </c>
      <c r="I108" s="224">
        <f t="shared" si="79"/>
        <v>0</v>
      </c>
      <c r="J108" s="224">
        <f t="shared" si="79"/>
        <v>0</v>
      </c>
      <c r="K108" s="224">
        <f t="shared" si="79"/>
        <v>0</v>
      </c>
      <c r="L108" s="224">
        <f t="shared" si="79"/>
        <v>0</v>
      </c>
      <c r="M108" s="224">
        <f t="shared" si="79"/>
        <v>0</v>
      </c>
      <c r="N108" s="224">
        <f t="shared" si="79"/>
        <v>0</v>
      </c>
      <c r="O108" s="224">
        <f t="shared" si="79"/>
        <v>0</v>
      </c>
      <c r="P108" s="224">
        <f t="shared" si="79"/>
        <v>0</v>
      </c>
      <c r="Q108" s="224">
        <f t="shared" si="79"/>
        <v>0</v>
      </c>
      <c r="R108" s="224">
        <f t="shared" si="79"/>
        <v>0</v>
      </c>
      <c r="S108" s="138"/>
      <c r="T108" s="92"/>
      <c r="U108" s="92"/>
      <c r="V108" s="92"/>
      <c r="W108" s="92"/>
      <c r="X108" s="92"/>
      <c r="Y108" s="92"/>
    </row>
    <row r="109" spans="1:25" s="124" customFormat="1" ht="14" thickBot="1">
      <c r="A109" s="445"/>
      <c r="B109" s="23">
        <f>B108+1</f>
        <v>109</v>
      </c>
      <c r="C109" s="484"/>
      <c r="D109" s="484"/>
      <c r="E109" s="484"/>
      <c r="F109" s="124" t="s">
        <v>548</v>
      </c>
      <c r="G109" s="125">
        <f t="shared" ref="G109:R109" si="80">IF(G8&gt;0,(G74+G77*$D77+G78*$D78+G79*$D79+G80*$D80+G81*$D81+G82*$D82+G83+G84+G85)/G8/G3,0)</f>
        <v>0</v>
      </c>
      <c r="H109" s="125">
        <f t="shared" si="80"/>
        <v>0</v>
      </c>
      <c r="I109" s="125">
        <f t="shared" si="80"/>
        <v>0</v>
      </c>
      <c r="J109" s="125">
        <f t="shared" si="80"/>
        <v>0</v>
      </c>
      <c r="K109" s="125">
        <f t="shared" si="80"/>
        <v>0</v>
      </c>
      <c r="L109" s="125">
        <f t="shared" si="80"/>
        <v>0</v>
      </c>
      <c r="M109" s="125">
        <f t="shared" si="80"/>
        <v>0</v>
      </c>
      <c r="N109" s="125">
        <f t="shared" si="80"/>
        <v>0</v>
      </c>
      <c r="O109" s="125">
        <f t="shared" si="80"/>
        <v>0</v>
      </c>
      <c r="P109" s="125">
        <f t="shared" si="80"/>
        <v>0</v>
      </c>
      <c r="Q109" s="125">
        <f t="shared" si="80"/>
        <v>0</v>
      </c>
      <c r="R109" s="125">
        <f t="shared" si="80"/>
        <v>0</v>
      </c>
      <c r="S109" s="126"/>
      <c r="T109" s="92"/>
      <c r="U109" s="92"/>
      <c r="V109" s="92"/>
      <c r="W109" s="92"/>
      <c r="X109" s="92"/>
      <c r="Y109" s="92"/>
    </row>
    <row r="110" spans="1:25" ht="14" thickTop="1">
      <c r="A110" s="446"/>
      <c r="B110" s="132">
        <f>B109+1</f>
        <v>110</v>
      </c>
      <c r="C110"/>
      <c r="D110"/>
      <c r="E110"/>
      <c r="F110" s="133" t="s">
        <v>97</v>
      </c>
      <c r="G110" s="157">
        <f t="shared" ref="G110:R110" si="81">IF(LEFT(G$4)&lt;&gt;"b",IF(G$9&gt;=650,650*ROUND(16.38*G$6,2)/12,G$9*ROUND(16.38*G$6,2)/12),IF(G$9&gt;=750,750*ROUND(22.41*G$6,2)/12,G$9*ROUND(22.41*G$6,2)/12))</f>
        <v>0</v>
      </c>
      <c r="H110" s="157">
        <f t="shared" si="81"/>
        <v>0</v>
      </c>
      <c r="I110" s="157">
        <f t="shared" si="81"/>
        <v>0</v>
      </c>
      <c r="J110" s="157">
        <f t="shared" si="81"/>
        <v>0</v>
      </c>
      <c r="K110" s="157">
        <f t="shared" si="81"/>
        <v>0</v>
      </c>
      <c r="L110" s="157">
        <f t="shared" si="81"/>
        <v>0</v>
      </c>
      <c r="M110" s="157">
        <f t="shared" si="81"/>
        <v>0</v>
      </c>
      <c r="N110" s="157">
        <f t="shared" si="81"/>
        <v>0</v>
      </c>
      <c r="O110" s="157">
        <f t="shared" si="81"/>
        <v>0</v>
      </c>
      <c r="P110" s="157">
        <f t="shared" si="81"/>
        <v>0</v>
      </c>
      <c r="Q110" s="157">
        <f t="shared" si="81"/>
        <v>0</v>
      </c>
      <c r="R110" s="157">
        <f t="shared" si="81"/>
        <v>0</v>
      </c>
      <c r="S110" s="134" t="s">
        <v>199</v>
      </c>
      <c r="T110" s="92"/>
      <c r="U110" s="92"/>
      <c r="V110" s="92"/>
      <c r="W110" s="92"/>
      <c r="X110" s="92"/>
      <c r="Y110" s="92"/>
    </row>
    <row r="111" spans="1:25" ht="13">
      <c r="A111" s="446"/>
      <c r="B111" s="23">
        <f>B110+1</f>
        <v>111</v>
      </c>
      <c r="C111"/>
      <c r="D111"/>
      <c r="E111"/>
      <c r="F111" s="194" t="s">
        <v>98</v>
      </c>
      <c r="G111" s="115">
        <f t="shared" ref="G111:R111" si="82">IF(LEFT(G$4)&lt;&gt;"b",IF(G$9&gt;650,IF(G$9&gt;=700,50*ROUND(98.3*G$6,2)/12,(G$9-650)*ROUND(98.3*G$6,2)/12),0),IF(G$9&gt;750,IF(G$9&gt;=800,50*ROUND(65.53*G$6,2)/12,(G$9-750)*ROUND(65.53*G$6,2)/12),0))</f>
        <v>0</v>
      </c>
      <c r="H111" s="115">
        <f t="shared" si="82"/>
        <v>0</v>
      </c>
      <c r="I111" s="115">
        <f t="shared" si="82"/>
        <v>0</v>
      </c>
      <c r="J111" s="115">
        <f t="shared" si="82"/>
        <v>0</v>
      </c>
      <c r="K111" s="115">
        <f t="shared" si="82"/>
        <v>0</v>
      </c>
      <c r="L111" s="115">
        <f t="shared" si="82"/>
        <v>0</v>
      </c>
      <c r="M111" s="115">
        <f t="shared" si="82"/>
        <v>0</v>
      </c>
      <c r="N111" s="115">
        <f t="shared" si="82"/>
        <v>0</v>
      </c>
      <c r="O111" s="115">
        <f t="shared" si="82"/>
        <v>0</v>
      </c>
      <c r="P111" s="115">
        <f t="shared" si="82"/>
        <v>0</v>
      </c>
      <c r="Q111" s="115">
        <f t="shared" si="82"/>
        <v>0</v>
      </c>
      <c r="R111" s="115">
        <f t="shared" si="82"/>
        <v>0</v>
      </c>
      <c r="S111" s="116" t="s">
        <v>199</v>
      </c>
      <c r="T111" s="92"/>
      <c r="U111" s="92"/>
      <c r="V111" s="92"/>
      <c r="W111" s="92"/>
      <c r="X111" s="92"/>
      <c r="Y111" s="92"/>
    </row>
    <row r="112" spans="1:25" ht="13">
      <c r="A112" s="446"/>
      <c r="B112" s="23">
        <f>B111+1</f>
        <v>112</v>
      </c>
      <c r="C112"/>
      <c r="D112"/>
      <c r="E112"/>
      <c r="F112" s="194" t="s">
        <v>179</v>
      </c>
      <c r="G112" s="115">
        <f t="shared" ref="G112:R112" si="83">IF(LEFT(G$4)&lt;&gt;"b",IF(G$9&gt;700,IF(G$9&gt;=750,50*ROUND(131.07*G$6,2)/12,(G$9-700)*ROUND(131.07*G$6,2)/12),0),IF(G$9&gt;800,IF(G$9&gt;=835,35*ROUND(131.07*G$6,2)/12,(G$9-800)*ROUND(131.07*G$6,2)/12),0))</f>
        <v>0</v>
      </c>
      <c r="H112" s="115">
        <f t="shared" si="83"/>
        <v>0</v>
      </c>
      <c r="I112" s="115">
        <f t="shared" si="83"/>
        <v>0</v>
      </c>
      <c r="J112" s="115">
        <f t="shared" si="83"/>
        <v>0</v>
      </c>
      <c r="K112" s="115">
        <f t="shared" si="83"/>
        <v>0</v>
      </c>
      <c r="L112" s="115">
        <f t="shared" si="83"/>
        <v>0</v>
      </c>
      <c r="M112" s="115">
        <f t="shared" si="83"/>
        <v>0</v>
      </c>
      <c r="N112" s="115">
        <f t="shared" si="83"/>
        <v>0</v>
      </c>
      <c r="O112" s="115">
        <f t="shared" si="83"/>
        <v>0</v>
      </c>
      <c r="P112" s="115">
        <f t="shared" si="83"/>
        <v>0</v>
      </c>
      <c r="Q112" s="115">
        <f t="shared" si="83"/>
        <v>0</v>
      </c>
      <c r="R112" s="115">
        <f t="shared" si="83"/>
        <v>0</v>
      </c>
      <c r="S112" s="116" t="s">
        <v>199</v>
      </c>
      <c r="T112" s="92"/>
      <c r="U112" s="92"/>
      <c r="V112" s="92"/>
      <c r="W112" s="92"/>
      <c r="X112" s="92"/>
      <c r="Y112" s="92"/>
    </row>
    <row r="113" spans="1:25" ht="13">
      <c r="A113" s="446"/>
      <c r="B113" s="23">
        <f>B112+1</f>
        <v>113</v>
      </c>
      <c r="C113" s="483"/>
      <c r="D113" s="483"/>
      <c r="E113" s="483"/>
      <c r="F113" s="195" t="s">
        <v>180</v>
      </c>
      <c r="G113" s="117">
        <f t="shared" ref="G113:R113" si="84">IF(LEFT(G$4)&lt;&gt;"b",IF(G$9&gt;750,(G$9-750)*ROUND(163.83*G$6,2)/12,0),IF(G$9&gt;835,(G$9-835)*ROUND(163.83*G$6,2)/12,0))</f>
        <v>0</v>
      </c>
      <c r="H113" s="117">
        <f t="shared" si="84"/>
        <v>0</v>
      </c>
      <c r="I113" s="117">
        <f t="shared" si="84"/>
        <v>0</v>
      </c>
      <c r="J113" s="117">
        <f t="shared" si="84"/>
        <v>0</v>
      </c>
      <c r="K113" s="117">
        <f t="shared" si="84"/>
        <v>0</v>
      </c>
      <c r="L113" s="117">
        <f t="shared" si="84"/>
        <v>0</v>
      </c>
      <c r="M113" s="117">
        <f t="shared" si="84"/>
        <v>0</v>
      </c>
      <c r="N113" s="117">
        <f t="shared" si="84"/>
        <v>0</v>
      </c>
      <c r="O113" s="117">
        <f t="shared" si="84"/>
        <v>0</v>
      </c>
      <c r="P113" s="117">
        <f t="shared" si="84"/>
        <v>0</v>
      </c>
      <c r="Q113" s="117">
        <f t="shared" si="84"/>
        <v>0</v>
      </c>
      <c r="R113" s="117">
        <f t="shared" si="84"/>
        <v>0</v>
      </c>
      <c r="S113" s="118" t="s">
        <v>199</v>
      </c>
      <c r="T113" s="92"/>
      <c r="U113" s="92"/>
      <c r="V113" s="92"/>
      <c r="W113" s="92"/>
      <c r="X113" s="92"/>
      <c r="Y113" s="92"/>
    </row>
    <row r="114" spans="1:25" ht="13">
      <c r="A114" s="245"/>
      <c r="C114"/>
      <c r="D114"/>
      <c r="E114"/>
      <c r="T114" s="92"/>
      <c r="U114" s="92"/>
      <c r="V114" s="92"/>
      <c r="W114" s="92"/>
      <c r="X114" s="92"/>
      <c r="Y114" s="92"/>
    </row>
    <row r="115" spans="1:25" s="127" customFormat="1">
      <c r="A115" s="92"/>
      <c r="B115" s="91"/>
      <c r="C115" s="91"/>
      <c r="D115" s="91"/>
      <c r="E115" s="91"/>
      <c r="F115" s="555"/>
      <c r="G115" s="120"/>
      <c r="H115" s="120"/>
      <c r="I115" s="120"/>
      <c r="J115" s="120"/>
      <c r="K115" s="120"/>
      <c r="L115" s="120"/>
      <c r="M115" s="120"/>
      <c r="N115" s="120"/>
      <c r="O115" s="120"/>
      <c r="P115" s="120"/>
      <c r="Q115" s="120"/>
      <c r="R115" s="120"/>
      <c r="S115" s="90"/>
      <c r="T115" s="92"/>
      <c r="U115" s="92"/>
      <c r="V115" s="92"/>
      <c r="W115" s="92"/>
      <c r="X115" s="92"/>
      <c r="Y115" s="92"/>
    </row>
    <row r="116" spans="1:25" s="127" customFormat="1">
      <c r="A116" s="92"/>
      <c r="B116" s="91"/>
      <c r="C116" s="91"/>
      <c r="D116" s="91"/>
      <c r="E116" s="91"/>
      <c r="F116" s="555"/>
      <c r="G116" s="120"/>
      <c r="H116" s="93"/>
      <c r="I116" s="93"/>
      <c r="J116" s="93"/>
      <c r="K116" s="93"/>
      <c r="L116" s="93"/>
      <c r="M116" s="93"/>
      <c r="N116" s="93"/>
      <c r="O116" s="93"/>
      <c r="P116" s="93"/>
      <c r="Q116" s="93"/>
      <c r="R116" s="93"/>
      <c r="S116" s="90"/>
      <c r="T116" s="92"/>
      <c r="U116" s="92"/>
      <c r="V116" s="92"/>
      <c r="W116" s="92"/>
      <c r="X116" s="92"/>
      <c r="Y116" s="92"/>
    </row>
    <row r="117" spans="1:25" s="127" customFormat="1">
      <c r="A117" s="92"/>
      <c r="B117" s="91"/>
      <c r="C117" s="91"/>
      <c r="D117" s="91"/>
      <c r="E117" s="91"/>
      <c r="F117" s="555"/>
      <c r="G117" s="120"/>
      <c r="H117" s="93"/>
      <c r="I117" s="93"/>
      <c r="J117" s="93"/>
      <c r="K117" s="93"/>
      <c r="L117" s="93"/>
      <c r="M117" s="93"/>
      <c r="N117" s="93"/>
      <c r="O117" s="93"/>
      <c r="P117" s="93"/>
      <c r="Q117" s="93"/>
      <c r="R117" s="93"/>
      <c r="S117" s="90"/>
      <c r="T117" s="92"/>
      <c r="U117" s="92"/>
      <c r="V117" s="92"/>
      <c r="W117" s="92"/>
      <c r="X117" s="92"/>
      <c r="Y117" s="92"/>
    </row>
    <row r="118" spans="1:25" s="127" customFormat="1">
      <c r="A118" s="92"/>
      <c r="B118" s="91"/>
      <c r="C118" s="91"/>
      <c r="D118" s="91"/>
      <c r="E118" s="91"/>
      <c r="F118" s="494"/>
      <c r="G118" s="120"/>
      <c r="H118" s="93"/>
      <c r="I118" s="93"/>
      <c r="J118" s="93"/>
      <c r="K118" s="93"/>
      <c r="L118" s="93"/>
      <c r="M118" s="93"/>
      <c r="N118" s="93"/>
      <c r="O118" s="93"/>
      <c r="P118" s="93"/>
      <c r="Q118" s="93"/>
      <c r="R118" s="93"/>
      <c r="S118" s="90"/>
      <c r="T118" s="92"/>
      <c r="U118" s="92"/>
      <c r="V118" s="92"/>
      <c r="W118" s="92"/>
      <c r="X118" s="92"/>
      <c r="Y118" s="92"/>
    </row>
    <row r="119" spans="1:25" s="127" customFormat="1">
      <c r="A119" s="92"/>
      <c r="B119" s="91"/>
      <c r="C119" s="91"/>
      <c r="D119" s="91"/>
      <c r="E119" s="91"/>
      <c r="F119" s="495"/>
      <c r="G119" s="120"/>
      <c r="H119" s="93"/>
      <c r="I119" s="93"/>
      <c r="J119" s="93"/>
      <c r="K119" s="93"/>
      <c r="L119" s="93"/>
      <c r="M119" s="93"/>
      <c r="N119" s="93"/>
      <c r="O119" s="93"/>
      <c r="P119" s="93"/>
      <c r="Q119" s="93"/>
      <c r="R119" s="93"/>
      <c r="S119" s="90"/>
      <c r="T119" s="92"/>
      <c r="U119" s="92"/>
      <c r="V119" s="92"/>
      <c r="W119" s="92"/>
      <c r="X119" s="92"/>
      <c r="Y119" s="92"/>
    </row>
    <row r="120" spans="1:25" s="565" customFormat="1">
      <c r="B120" s="566"/>
      <c r="C120" s="566"/>
      <c r="D120" s="566"/>
      <c r="E120" s="566"/>
      <c r="F120" s="567"/>
      <c r="G120" s="568"/>
      <c r="H120" s="569"/>
      <c r="I120" s="569"/>
      <c r="J120" s="569"/>
      <c r="K120" s="569"/>
      <c r="L120" s="569"/>
      <c r="M120" s="569"/>
      <c r="N120" s="569"/>
      <c r="O120" s="569"/>
      <c r="P120" s="569"/>
      <c r="Q120" s="569"/>
      <c r="R120" s="569"/>
      <c r="S120" s="570"/>
      <c r="T120" s="127"/>
      <c r="U120" s="127"/>
      <c r="V120" s="127"/>
      <c r="W120" s="127"/>
      <c r="X120" s="127"/>
      <c r="Y120" s="127"/>
    </row>
    <row r="121" spans="1:25" s="565" customFormat="1">
      <c r="B121" s="566"/>
      <c r="C121" s="566"/>
      <c r="D121" s="566"/>
      <c r="E121" s="566"/>
      <c r="F121" s="561" t="s">
        <v>474</v>
      </c>
      <c r="G121" s="562">
        <f>(SUM(G45:G56)-G46+G58)</f>
        <v>0</v>
      </c>
      <c r="H121" s="571"/>
      <c r="I121" s="571"/>
      <c r="J121" s="569"/>
      <c r="K121" s="569"/>
      <c r="L121" s="569"/>
      <c r="M121" s="569"/>
      <c r="N121" s="569"/>
      <c r="O121" s="569"/>
      <c r="P121" s="569"/>
      <c r="Q121" s="569"/>
      <c r="R121" s="569"/>
      <c r="S121" s="570"/>
      <c r="T121" s="127"/>
      <c r="U121" s="127"/>
      <c r="V121" s="127"/>
      <c r="W121" s="127"/>
      <c r="X121" s="127"/>
      <c r="Y121" s="127"/>
    </row>
    <row r="122" spans="1:25" s="565" customFormat="1">
      <c r="B122" s="566"/>
      <c r="C122" s="566"/>
      <c r="D122" s="566"/>
      <c r="E122" s="566"/>
      <c r="F122" s="561" t="s">
        <v>480</v>
      </c>
      <c r="G122" s="562">
        <f>ROUND(ROUND(VLOOKUP(IF(LEFT(G4)="B",33,42),Skalalontabel12,7,0)*G6,0)/12,2)*G8</f>
        <v>0</v>
      </c>
      <c r="H122" s="571" t="s">
        <v>482</v>
      </c>
      <c r="I122" s="572" t="str">
        <f>"0,7%/3"</f>
        <v>0,7%/3</v>
      </c>
      <c r="J122" s="569"/>
      <c r="K122" s="569"/>
      <c r="L122" s="569"/>
      <c r="M122" s="569"/>
      <c r="N122" s="569"/>
      <c r="O122" s="569"/>
      <c r="P122" s="569"/>
      <c r="Q122" s="569"/>
      <c r="R122" s="569"/>
      <c r="S122" s="570"/>
      <c r="T122" s="127"/>
      <c r="U122" s="127"/>
      <c r="V122" s="127"/>
      <c r="W122" s="127"/>
      <c r="X122" s="127"/>
      <c r="Y122" s="127"/>
    </row>
    <row r="123" spans="1:25" s="565" customFormat="1">
      <c r="B123" s="566"/>
      <c r="C123" s="566"/>
      <c r="D123" s="566"/>
      <c r="E123" s="566"/>
      <c r="F123" s="561" t="s">
        <v>475</v>
      </c>
      <c r="G123" s="562">
        <f>MAX(G121-G122,0)</f>
        <v>0</v>
      </c>
      <c r="H123" s="573">
        <f>SUM(G49:G54)</f>
        <v>0</v>
      </c>
      <c r="I123" s="573">
        <f>G123</f>
        <v>0</v>
      </c>
      <c r="J123" s="569"/>
      <c r="K123" s="569"/>
      <c r="L123" s="569"/>
      <c r="M123" s="569"/>
      <c r="N123" s="569"/>
      <c r="O123" s="569"/>
      <c r="P123" s="569"/>
      <c r="Q123" s="569"/>
      <c r="R123" s="569"/>
      <c r="S123" s="570"/>
      <c r="T123" s="127"/>
      <c r="U123" s="127"/>
      <c r="V123" s="127"/>
      <c r="W123" s="127"/>
      <c r="X123" s="127"/>
      <c r="Y123" s="127"/>
    </row>
    <row r="124" spans="1:25" s="565" customFormat="1">
      <c r="B124" s="566"/>
      <c r="C124" s="566"/>
      <c r="D124" s="566"/>
      <c r="E124" s="566"/>
      <c r="F124" s="563">
        <v>0.18</v>
      </c>
      <c r="G124" s="562">
        <f>G123*0.18/3</f>
        <v>0</v>
      </c>
      <c r="H124" s="573">
        <f>H123*0.173/3</f>
        <v>0</v>
      </c>
      <c r="I124" s="573">
        <f>I123*0.007/3</f>
        <v>0</v>
      </c>
      <c r="J124" s="574"/>
      <c r="K124" s="569"/>
      <c r="L124" s="569"/>
      <c r="M124" s="569"/>
      <c r="N124" s="569"/>
      <c r="O124" s="569"/>
      <c r="P124" s="569"/>
      <c r="Q124" s="569"/>
      <c r="R124" s="569"/>
      <c r="S124" s="570"/>
      <c r="T124" s="127"/>
      <c r="U124" s="127"/>
      <c r="V124" s="127"/>
      <c r="W124" s="127"/>
      <c r="X124" s="127"/>
      <c r="Y124" s="127"/>
    </row>
    <row r="125" spans="1:25" s="565" customFormat="1">
      <c r="B125" s="566"/>
      <c r="C125" s="566"/>
      <c r="D125" s="566"/>
      <c r="E125" s="566"/>
      <c r="F125" s="558"/>
      <c r="G125" s="557"/>
      <c r="H125" s="569"/>
      <c r="I125" s="569"/>
      <c r="J125" s="569"/>
      <c r="K125" s="569"/>
      <c r="L125" s="569"/>
      <c r="M125" s="569"/>
      <c r="N125" s="569"/>
      <c r="O125" s="569"/>
      <c r="P125" s="569"/>
      <c r="Q125" s="569"/>
      <c r="R125" s="569"/>
      <c r="S125" s="570"/>
      <c r="T125" s="127"/>
      <c r="U125" s="127"/>
      <c r="V125" s="127"/>
      <c r="W125" s="127"/>
      <c r="X125" s="127"/>
      <c r="Y125" s="127"/>
    </row>
    <row r="126" spans="1:25" s="565" customFormat="1">
      <c r="B126" s="566"/>
      <c r="C126" s="566"/>
      <c r="D126" s="566"/>
      <c r="E126" s="566"/>
      <c r="F126" s="556"/>
      <c r="G126" s="557"/>
      <c r="H126" s="569"/>
      <c r="I126" s="569"/>
      <c r="J126" s="569"/>
      <c r="K126" s="569"/>
      <c r="L126" s="569"/>
      <c r="M126" s="569"/>
      <c r="N126" s="569"/>
      <c r="O126" s="569"/>
      <c r="P126" s="569"/>
      <c r="Q126" s="569"/>
      <c r="R126" s="569"/>
      <c r="S126" s="570"/>
      <c r="T126" s="127"/>
      <c r="U126" s="127"/>
      <c r="V126" s="127"/>
      <c r="W126" s="127"/>
      <c r="X126" s="127"/>
      <c r="Y126" s="127"/>
    </row>
    <row r="127" spans="1:25" s="565" customFormat="1" ht="2" customHeight="1">
      <c r="B127" s="566"/>
      <c r="C127" s="566"/>
      <c r="D127" s="566"/>
      <c r="E127" s="566"/>
      <c r="G127" s="569"/>
      <c r="H127" s="569"/>
      <c r="I127" s="569"/>
      <c r="J127" s="569"/>
      <c r="K127" s="569"/>
      <c r="L127" s="569"/>
      <c r="M127" s="569"/>
      <c r="N127" s="569"/>
      <c r="O127" s="569"/>
      <c r="P127" s="569"/>
      <c r="Q127" s="569"/>
      <c r="R127" s="569"/>
      <c r="S127" s="570"/>
      <c r="T127" s="127"/>
      <c r="U127" s="127"/>
      <c r="V127" s="127"/>
      <c r="W127" s="127"/>
      <c r="X127" s="127"/>
      <c r="Y127" s="127"/>
    </row>
    <row r="128" spans="1:25" s="565" customFormat="1" ht="2" customHeight="1">
      <c r="B128" s="566"/>
      <c r="C128" s="566"/>
      <c r="D128" s="566"/>
      <c r="E128" s="566"/>
      <c r="G128" s="569"/>
      <c r="H128" s="569"/>
      <c r="I128" s="569"/>
      <c r="J128" s="569"/>
      <c r="K128" s="569"/>
      <c r="L128" s="569"/>
      <c r="M128" s="569"/>
      <c r="N128" s="569"/>
      <c r="O128" s="569"/>
      <c r="P128" s="569"/>
      <c r="Q128" s="569"/>
      <c r="R128" s="569"/>
      <c r="S128" s="570"/>
      <c r="T128" s="127"/>
      <c r="U128" s="127"/>
      <c r="V128" s="127"/>
      <c r="W128" s="127"/>
      <c r="X128" s="127"/>
      <c r="Y128" s="127"/>
    </row>
    <row r="129" spans="1:25" s="565" customFormat="1" ht="2" customHeight="1">
      <c r="B129" s="566"/>
      <c r="C129" s="566"/>
      <c r="D129" s="566"/>
      <c r="E129" s="566"/>
      <c r="G129" s="569"/>
      <c r="H129" s="569"/>
      <c r="I129" s="569"/>
      <c r="J129" s="569"/>
      <c r="K129" s="569"/>
      <c r="L129" s="569"/>
      <c r="M129" s="569"/>
      <c r="N129" s="569"/>
      <c r="O129" s="569"/>
      <c r="P129" s="569"/>
      <c r="Q129" s="569"/>
      <c r="R129" s="569"/>
      <c r="S129" s="570"/>
      <c r="T129" s="127"/>
      <c r="U129" s="127"/>
      <c r="V129" s="127"/>
      <c r="W129" s="127"/>
      <c r="X129" s="127"/>
      <c r="Y129" s="127"/>
    </row>
    <row r="130" spans="1:25" s="565" customFormat="1" ht="2" customHeight="1">
      <c r="B130" s="566"/>
      <c r="C130" s="566"/>
      <c r="D130" s="566"/>
      <c r="E130" s="566"/>
      <c r="G130" s="569"/>
      <c r="H130" s="569"/>
      <c r="I130" s="569"/>
      <c r="J130" s="569"/>
      <c r="K130" s="569"/>
      <c r="L130" s="569"/>
      <c r="M130" s="569"/>
      <c r="N130" s="569"/>
      <c r="O130" s="569"/>
      <c r="P130" s="569"/>
      <c r="Q130" s="569"/>
      <c r="R130" s="569"/>
      <c r="S130" s="570"/>
      <c r="T130" s="127"/>
      <c r="U130" s="127"/>
      <c r="V130" s="127"/>
      <c r="W130" s="127"/>
      <c r="X130" s="127"/>
      <c r="Y130" s="127"/>
    </row>
    <row r="131" spans="1:25" s="565" customFormat="1" ht="2" customHeight="1">
      <c r="B131" s="566"/>
      <c r="C131" s="566"/>
      <c r="D131" s="566"/>
      <c r="E131" s="566"/>
      <c r="G131" s="569"/>
      <c r="H131" s="569"/>
      <c r="I131" s="569"/>
      <c r="J131" s="569"/>
      <c r="K131" s="569"/>
      <c r="L131" s="569"/>
      <c r="M131" s="569"/>
      <c r="N131" s="569"/>
      <c r="O131" s="569"/>
      <c r="P131" s="569"/>
      <c r="Q131" s="569"/>
      <c r="R131" s="569"/>
      <c r="S131" s="570"/>
      <c r="T131" s="127"/>
      <c r="U131" s="127"/>
      <c r="V131" s="127"/>
      <c r="W131" s="127"/>
      <c r="X131" s="127"/>
      <c r="Y131" s="127"/>
    </row>
    <row r="132" spans="1:25" s="565" customFormat="1" ht="2" customHeight="1">
      <c r="B132" s="566"/>
      <c r="C132" s="566"/>
      <c r="D132" s="566"/>
      <c r="E132" s="566"/>
      <c r="G132" s="569"/>
      <c r="H132" s="569"/>
      <c r="I132" s="569"/>
      <c r="J132" s="569"/>
      <c r="K132" s="569"/>
      <c r="L132" s="569"/>
      <c r="M132" s="569"/>
      <c r="N132" s="569"/>
      <c r="O132" s="569"/>
      <c r="P132" s="569"/>
      <c r="Q132" s="569"/>
      <c r="R132" s="569"/>
      <c r="S132" s="570"/>
      <c r="T132" s="127"/>
      <c r="U132" s="127"/>
      <c r="V132" s="127"/>
      <c r="W132" s="127"/>
      <c r="X132" s="127"/>
      <c r="Y132" s="127"/>
    </row>
    <row r="133" spans="1:25" s="565" customFormat="1" ht="2" customHeight="1">
      <c r="B133" s="566"/>
      <c r="C133" s="566"/>
      <c r="D133" s="566"/>
      <c r="E133" s="566"/>
      <c r="G133" s="569"/>
      <c r="H133" s="569"/>
      <c r="I133" s="569"/>
      <c r="J133" s="569"/>
      <c r="K133" s="569"/>
      <c r="L133" s="569"/>
      <c r="M133" s="569"/>
      <c r="N133" s="569"/>
      <c r="O133" s="569"/>
      <c r="P133" s="569"/>
      <c r="Q133" s="569"/>
      <c r="R133" s="569"/>
      <c r="S133" s="570"/>
      <c r="T133" s="127"/>
      <c r="U133" s="127"/>
      <c r="V133" s="127"/>
      <c r="W133" s="127"/>
      <c r="X133" s="127"/>
      <c r="Y133" s="127"/>
    </row>
    <row r="134" spans="1:25" s="565" customFormat="1" ht="2" customHeight="1">
      <c r="B134" s="566"/>
      <c r="C134" s="566"/>
      <c r="D134" s="566"/>
      <c r="E134" s="566"/>
      <c r="G134" s="569"/>
      <c r="H134" s="569"/>
      <c r="I134" s="569"/>
      <c r="J134" s="569"/>
      <c r="K134" s="569"/>
      <c r="L134" s="569"/>
      <c r="M134" s="569"/>
      <c r="N134" s="569"/>
      <c r="O134" s="569"/>
      <c r="P134" s="569"/>
      <c r="Q134" s="569"/>
      <c r="R134" s="569"/>
      <c r="S134" s="570"/>
      <c r="T134" s="127"/>
      <c r="U134" s="127"/>
      <c r="V134" s="127"/>
      <c r="W134" s="127"/>
      <c r="X134" s="127"/>
      <c r="Y134" s="127"/>
    </row>
    <row r="135" spans="1:25" s="565" customFormat="1" ht="2" customHeight="1">
      <c r="B135" s="566"/>
      <c r="C135" s="566"/>
      <c r="D135" s="566"/>
      <c r="E135" s="566"/>
      <c r="G135" s="569"/>
      <c r="H135" s="569"/>
      <c r="I135" s="569"/>
      <c r="J135" s="569"/>
      <c r="K135" s="569"/>
      <c r="L135" s="569"/>
      <c r="M135" s="569"/>
      <c r="N135" s="569"/>
      <c r="O135" s="569"/>
      <c r="P135" s="569"/>
      <c r="Q135" s="569"/>
      <c r="R135" s="569"/>
      <c r="S135" s="570"/>
      <c r="T135" s="127"/>
      <c r="U135" s="127"/>
      <c r="V135" s="127"/>
      <c r="W135" s="127"/>
      <c r="X135" s="127"/>
      <c r="Y135" s="127"/>
    </row>
    <row r="136" spans="1:25" s="565" customFormat="1" ht="2" customHeight="1">
      <c r="B136" s="566"/>
      <c r="C136" s="566"/>
      <c r="D136" s="566"/>
      <c r="E136" s="566"/>
      <c r="G136" s="569"/>
      <c r="H136" s="569"/>
      <c r="I136" s="569"/>
      <c r="J136" s="569"/>
      <c r="K136" s="569"/>
      <c r="L136" s="569"/>
      <c r="M136" s="569"/>
      <c r="N136" s="569"/>
      <c r="O136" s="569"/>
      <c r="P136" s="569"/>
      <c r="Q136" s="569"/>
      <c r="R136" s="569"/>
      <c r="S136" s="570"/>
      <c r="T136" s="127"/>
      <c r="U136" s="127"/>
      <c r="V136" s="127"/>
      <c r="W136" s="127"/>
      <c r="X136" s="127"/>
      <c r="Y136" s="127"/>
    </row>
    <row r="137" spans="1:25" s="565" customFormat="1">
      <c r="B137" s="566"/>
      <c r="C137" s="566"/>
      <c r="D137" s="566"/>
      <c r="E137" s="566"/>
      <c r="G137" s="569"/>
      <c r="H137" s="569"/>
      <c r="I137" s="569"/>
      <c r="J137" s="569"/>
      <c r="K137" s="569"/>
      <c r="L137" s="569"/>
      <c r="M137" s="569"/>
      <c r="N137" s="569"/>
      <c r="O137" s="569"/>
      <c r="P137" s="569"/>
      <c r="Q137" s="569"/>
      <c r="R137" s="569"/>
      <c r="S137" s="570"/>
      <c r="T137" s="127"/>
      <c r="U137" s="127"/>
      <c r="V137" s="127"/>
      <c r="W137" s="127"/>
      <c r="X137" s="127"/>
      <c r="Y137" s="127"/>
    </row>
    <row r="138" spans="1:25" s="565" customFormat="1" ht="1" customHeight="1">
      <c r="B138" s="566"/>
      <c r="C138" s="566"/>
      <c r="D138" s="566"/>
      <c r="E138" s="566"/>
      <c r="G138" s="569"/>
      <c r="H138" s="569"/>
      <c r="I138" s="569"/>
      <c r="J138" s="569"/>
      <c r="K138" s="569"/>
      <c r="L138" s="569"/>
      <c r="M138" s="569"/>
      <c r="N138" s="569"/>
      <c r="O138" s="569"/>
      <c r="P138" s="569"/>
      <c r="Q138" s="569"/>
      <c r="R138" s="569"/>
      <c r="S138" s="570"/>
      <c r="T138" s="127"/>
      <c r="U138" s="127"/>
      <c r="V138" s="127"/>
      <c r="W138" s="127"/>
      <c r="X138" s="127"/>
      <c r="Y138" s="127"/>
    </row>
    <row r="139" spans="1:25" s="565" customFormat="1">
      <c r="A139" s="575" t="s">
        <v>462</v>
      </c>
      <c r="B139" s="576"/>
      <c r="C139" s="576"/>
      <c r="D139" s="576"/>
      <c r="E139" s="576"/>
      <c r="F139" s="575"/>
      <c r="G139" s="577" t="str">
        <f t="shared" ref="G139:R139" si="85">"lin. 1, lin.2"&amp;IF($D49&gt;0,", lin.5","")&amp;IF($D50&gt;0,", lin.6","")&amp;IF($D51&gt;0,", lin.7","")&amp;IF($D52&gt;0,", lin.8","")&amp;IF($D53&gt;0,", lin.9","")&amp;IF($D54&gt;0,", lin.10","")&amp;", lin. 11 - lin. 14"&amp;IF($D60&gt;0,", lin.16","")</f>
        <v>lin. 1, lin.2, lin.8, lin. 11 - lin. 14, lin.16</v>
      </c>
      <c r="H139" s="577" t="str">
        <f t="shared" si="85"/>
        <v>lin. 1, lin.2, lin.8, lin. 11 - lin. 14, lin.16</v>
      </c>
      <c r="I139" s="577" t="str">
        <f t="shared" si="85"/>
        <v>lin. 1, lin.2, lin.8, lin. 11 - lin. 14, lin.16</v>
      </c>
      <c r="J139" s="577" t="str">
        <f t="shared" si="85"/>
        <v>lin. 1, lin.2, lin.8, lin. 11 - lin. 14, lin.16</v>
      </c>
      <c r="K139" s="577" t="str">
        <f t="shared" si="85"/>
        <v>lin. 1, lin.2, lin.8, lin. 11 - lin. 14, lin.16</v>
      </c>
      <c r="L139" s="577" t="str">
        <f t="shared" si="85"/>
        <v>lin. 1, lin.2, lin.8, lin. 11 - lin. 14, lin.16</v>
      </c>
      <c r="M139" s="577" t="str">
        <f t="shared" si="85"/>
        <v>lin. 1, lin.2, lin.8, lin. 11 - lin. 14, lin.16</v>
      </c>
      <c r="N139" s="577" t="str">
        <f t="shared" si="85"/>
        <v>lin. 1, lin.2, lin.8, lin. 11 - lin. 14, lin.16</v>
      </c>
      <c r="O139" s="577" t="str">
        <f t="shared" si="85"/>
        <v>lin. 1, lin.2, lin.8, lin. 11 - lin. 14, lin.16</v>
      </c>
      <c r="P139" s="577" t="str">
        <f t="shared" si="85"/>
        <v>lin. 1, lin.2, lin.8, lin. 11 - lin. 14, lin.16</v>
      </c>
      <c r="Q139" s="577" t="str">
        <f t="shared" si="85"/>
        <v>lin. 1, lin.2, lin.8, lin. 11 - lin. 14, lin.16</v>
      </c>
      <c r="R139" s="577" t="str">
        <f t="shared" si="85"/>
        <v>lin. 1, lin.2, lin.8, lin. 11 - lin. 14, lin.16</v>
      </c>
      <c r="S139" s="578"/>
      <c r="T139" s="564"/>
      <c r="U139" s="127"/>
      <c r="V139" s="127"/>
      <c r="W139" s="127"/>
      <c r="X139" s="127"/>
      <c r="Y139" s="127"/>
    </row>
    <row r="140" spans="1:25" s="565" customFormat="1">
      <c r="A140" s="575" t="s">
        <v>458</v>
      </c>
      <c r="B140" s="576"/>
      <c r="C140" s="576"/>
      <c r="D140" s="576"/>
      <c r="E140" s="576"/>
      <c r="F140" s="575"/>
      <c r="G140" s="579" t="e">
        <f t="shared" ref="G140:R140" si="86">ROUND(G108/G$8/160.33,2)</f>
        <v>#DIV/0!</v>
      </c>
      <c r="H140" s="579" t="e">
        <f t="shared" si="86"/>
        <v>#DIV/0!</v>
      </c>
      <c r="I140" s="579" t="e">
        <f t="shared" si="86"/>
        <v>#DIV/0!</v>
      </c>
      <c r="J140" s="579" t="e">
        <f t="shared" si="86"/>
        <v>#DIV/0!</v>
      </c>
      <c r="K140" s="579" t="e">
        <f t="shared" si="86"/>
        <v>#DIV/0!</v>
      </c>
      <c r="L140" s="579" t="e">
        <f t="shared" si="86"/>
        <v>#DIV/0!</v>
      </c>
      <c r="M140" s="579" t="e">
        <f t="shared" si="86"/>
        <v>#DIV/0!</v>
      </c>
      <c r="N140" s="579" t="e">
        <f t="shared" si="86"/>
        <v>#DIV/0!</v>
      </c>
      <c r="O140" s="579" t="e">
        <f t="shared" si="86"/>
        <v>#DIV/0!</v>
      </c>
      <c r="P140" s="579" t="e">
        <f t="shared" si="86"/>
        <v>#DIV/0!</v>
      </c>
      <c r="Q140" s="579" t="e">
        <f t="shared" si="86"/>
        <v>#DIV/0!</v>
      </c>
      <c r="R140" s="579" t="e">
        <f t="shared" si="86"/>
        <v>#DIV/0!</v>
      </c>
      <c r="S140" s="578"/>
      <c r="T140" s="564"/>
      <c r="U140" s="127"/>
      <c r="V140" s="127"/>
      <c r="W140" s="127"/>
      <c r="X140" s="127"/>
      <c r="Y140" s="127"/>
    </row>
    <row r="141" spans="1:25" s="565" customFormat="1">
      <c r="A141" s="575" t="s">
        <v>459</v>
      </c>
      <c r="B141" s="576"/>
      <c r="C141" s="576"/>
      <c r="D141" s="576"/>
      <c r="E141" s="576"/>
      <c r="F141" s="575"/>
      <c r="G141" s="579" t="e">
        <f t="shared" ref="G141:R141" si="87">ROUND(G109/G$8/160.33,2)</f>
        <v>#DIV/0!</v>
      </c>
      <c r="H141" s="579" t="e">
        <f t="shared" si="87"/>
        <v>#DIV/0!</v>
      </c>
      <c r="I141" s="579" t="e">
        <f t="shared" si="87"/>
        <v>#DIV/0!</v>
      </c>
      <c r="J141" s="579" t="e">
        <f t="shared" si="87"/>
        <v>#DIV/0!</v>
      </c>
      <c r="K141" s="579" t="e">
        <f t="shared" si="87"/>
        <v>#DIV/0!</v>
      </c>
      <c r="L141" s="579" t="e">
        <f t="shared" si="87"/>
        <v>#DIV/0!</v>
      </c>
      <c r="M141" s="579" t="e">
        <f t="shared" si="87"/>
        <v>#DIV/0!</v>
      </c>
      <c r="N141" s="579" t="e">
        <f t="shared" si="87"/>
        <v>#DIV/0!</v>
      </c>
      <c r="O141" s="579" t="e">
        <f t="shared" si="87"/>
        <v>#DIV/0!</v>
      </c>
      <c r="P141" s="579" t="e">
        <f t="shared" si="87"/>
        <v>#DIV/0!</v>
      </c>
      <c r="Q141" s="579" t="e">
        <f t="shared" si="87"/>
        <v>#DIV/0!</v>
      </c>
      <c r="R141" s="579" t="e">
        <f t="shared" si="87"/>
        <v>#DIV/0!</v>
      </c>
      <c r="S141" s="578"/>
      <c r="T141" s="564"/>
      <c r="U141" s="127"/>
      <c r="V141" s="127"/>
      <c r="W141" s="127"/>
      <c r="X141" s="127"/>
      <c r="Y141" s="127"/>
    </row>
    <row r="142" spans="1:25" s="565" customFormat="1">
      <c r="A142" s="575" t="s">
        <v>288</v>
      </c>
      <c r="B142" s="576"/>
      <c r="C142" s="576"/>
      <c r="D142" s="576"/>
      <c r="E142" s="576"/>
      <c r="F142" s="575"/>
      <c r="G142" s="577" t="str">
        <f>"= ("&amp;TEXT(16.38*G$6,"#0,00")&amp;" * "&amp;MIN(650,G$9)&amp;" + "&amp;TEXT(98.3*G$6,"#0,00")&amp;" * "&amp;MAX(0,MIN(50,G$9-650))&amp;" + "&amp;TEXT(131.07*G$6,"#0,00")&amp;" * "&amp;MAX(0,MIN(50,G$9-700))&amp;" + "&amp;TEXT(163.83*G$6,"#0,00")&amp;" * "&amp;MAX(0,G$9-750)&amp;") / 12 * "&amp;TEXT(G$3,"#0/#0")&amp;" ="</f>
        <v>= (16,66 * 650 + 99,99 * 0 + 133,32 * 0 + 166,64 * 0) / 12 * 1/1 =</v>
      </c>
      <c r="H142" s="577" t="str">
        <f t="shared" ref="H142:R142" si="88">"= ("&amp;TEXT(16.38*H$6,"#0,00")&amp;" * "&amp;MIN(650,H$9)&amp;" + "&amp;TEXT(98.3*H$6,"#0,00")&amp;" * "&amp;MAX(0,MIN(50,H$9-650))&amp;" + "&amp;TEXT(131.07*H$6,"#0,00")&amp;" * "&amp;MAX(0,MIN(50,H$9-700))&amp;" + "&amp;TEXT(163.83*H$6,"#0,00")&amp;" * "&amp;MAX(0,H$9-750)&amp;") / 12 * "&amp;TEXT(H$3,"#0/#0")&amp;" ="</f>
        <v>= (16,66 * 0 + 99,99 * 0 + 133,32 * 0 + 166,64 * 0) / 12 * 1/1 =</v>
      </c>
      <c r="I142" s="577" t="str">
        <f t="shared" si="88"/>
        <v>= (16,66 * 0 + 99,99 * 0 + 133,32 * 0 + 166,64 * 0) / 12 * 1/1 =</v>
      </c>
      <c r="J142" s="577" t="str">
        <f t="shared" si="88"/>
        <v>= (16,66 * 0 + 99,99 * 0 + 133,32 * 0 + 166,64 * 0) / 12 * 1/1 =</v>
      </c>
      <c r="K142" s="577" t="str">
        <f t="shared" si="88"/>
        <v>= (16,66 * 0 + 99,99 * 0 + 133,32 * 0 + 166,64 * 0) / 12 * 1/1 =</v>
      </c>
      <c r="L142" s="577" t="str">
        <f t="shared" si="88"/>
        <v>= (16,66 * 0 + 99,99 * 0 + 133,32 * 0 + 166,64 * 0) / 12 * 1/1 =</v>
      </c>
      <c r="M142" s="577" t="str">
        <f t="shared" si="88"/>
        <v>= (16,66 * 0 + 99,99 * 0 + 133,32 * 0 + 166,64 * 0) / 12 * 1/1 =</v>
      </c>
      <c r="N142" s="577" t="str">
        <f t="shared" si="88"/>
        <v>= (16,66 * 0 + 99,99 * 0 + 133,32 * 0 + 166,64 * 0) / 12 * 1/1 =</v>
      </c>
      <c r="O142" s="577" t="str">
        <f t="shared" si="88"/>
        <v>= (17,00 * 0 + 102,04 * 0 + 136,05 * 0 + 170,06 * 0) / 12 * 1/1 =</v>
      </c>
      <c r="P142" s="577" t="str">
        <f t="shared" si="88"/>
        <v>= (17,00 * 0 + 102,04 * 0 + 136,05 * 0 + 170,06 * 0) / 12 * 1/1 =</v>
      </c>
      <c r="Q142" s="577" t="str">
        <f t="shared" si="88"/>
        <v>= (17,00 * 0 + 102,04 * 0 + 136,05 * 0 + 170,06 * 0) / 12 * 1/1 =</v>
      </c>
      <c r="R142" s="577" t="str">
        <f t="shared" si="88"/>
        <v>= (17,00 * 0 + 102,04 * 0 + 136,05 * 0 + 170,06 * 0) / 12 * 1/1 =</v>
      </c>
      <c r="S142" s="578"/>
      <c r="T142" s="564"/>
      <c r="U142" s="127"/>
      <c r="V142" s="127"/>
      <c r="W142" s="127"/>
      <c r="X142" s="127"/>
      <c r="Y142" s="127"/>
    </row>
    <row r="143" spans="1:25" s="565" customFormat="1">
      <c r="A143" s="575" t="s">
        <v>283</v>
      </c>
      <c r="B143" s="576"/>
      <c r="C143" s="576"/>
      <c r="D143" s="576"/>
      <c r="E143" s="576"/>
      <c r="F143" s="575"/>
      <c r="G143" s="577" t="str">
        <f>"= ("&amp;TEXT(22.41*G$6,"#0,00")&amp;" * "&amp;MIN(750,G$9)&amp;" + "&amp;TEXT(55.63*G$6,"#0,00")&amp;" * "&amp;MAX(0,MIN(50,G$9-750))&amp;" + "&amp;TEXT(131.07*G$6,"#0,00")&amp;" * "&amp;MAX(0,MIN(50,G$9-800))&amp;" + "&amp;TEXT(163.83*G$6,"#0,00")&amp;" * "&amp;MAX(0,G$9-835)&amp;") / 12 * "&amp;TEXT(G$3,"#0/#0")&amp;" ="</f>
        <v>= (22,79 * 750 + 56,58 * 0 + 133,32 * 0 + 166,64 * 0) / 12 * 1/1 =</v>
      </c>
      <c r="H143" s="577" t="str">
        <f t="shared" ref="H143:R143" si="89">"= ("&amp;TEXT(22.41*H$6,"#0,00")&amp;" * "&amp;MIN(750,H$9)&amp;" + "&amp;TEXT(55.63*H$6,"#0,00")&amp;" * "&amp;MAX(0,MIN(50,H$9-750))&amp;" + "&amp;TEXT(131.07*H$6,"#0,00")&amp;" * "&amp;MAX(0,MIN(50,H$9-800))&amp;" + "&amp;TEXT(163.83*H$6,"#0,00")&amp;" * "&amp;MAX(0,H$9-835)&amp;") / 12 * "&amp;TEXT(H$3,"#0/#0")&amp;" ="</f>
        <v>= (22,79 * 0 + 56,58 * 0 + 133,32 * 0 + 166,64 * 0) / 12 * 1/1 =</v>
      </c>
      <c r="I143" s="577" t="str">
        <f t="shared" si="89"/>
        <v>= (22,79 * 0 + 56,58 * 0 + 133,32 * 0 + 166,64 * 0) / 12 * 1/1 =</v>
      </c>
      <c r="J143" s="577" t="str">
        <f t="shared" si="89"/>
        <v>= (22,79 * 0 + 56,58 * 0 + 133,32 * 0 + 166,64 * 0) / 12 * 1/1 =</v>
      </c>
      <c r="K143" s="577" t="str">
        <f t="shared" si="89"/>
        <v>= (22,79 * 0 + 56,58 * 0 + 133,32 * 0 + 166,64 * 0) / 12 * 1/1 =</v>
      </c>
      <c r="L143" s="577" t="str">
        <f t="shared" si="89"/>
        <v>= (22,79 * 0 + 56,58 * 0 + 133,32 * 0 + 166,64 * 0) / 12 * 1/1 =</v>
      </c>
      <c r="M143" s="577" t="str">
        <f t="shared" si="89"/>
        <v>= (22,79 * 0 + 56,58 * 0 + 133,32 * 0 + 166,64 * 0) / 12 * 1/1 =</v>
      </c>
      <c r="N143" s="577" t="str">
        <f t="shared" si="89"/>
        <v>= (22,79 * 0 + 56,58 * 0 + 133,32 * 0 + 166,64 * 0) / 12 * 1/1 =</v>
      </c>
      <c r="O143" s="577" t="str">
        <f t="shared" si="89"/>
        <v>= (23,26 * 0 + 57,74 * 0 + 136,05 * 0 + 170,06 * 0) / 12 * 1/1 =</v>
      </c>
      <c r="P143" s="577" t="str">
        <f t="shared" si="89"/>
        <v>= (23,26 * 0 + 57,74 * 0 + 136,05 * 0 + 170,06 * 0) / 12 * 1/1 =</v>
      </c>
      <c r="Q143" s="577" t="str">
        <f t="shared" si="89"/>
        <v>= (23,26 * 0 + 57,74 * 0 + 136,05 * 0 + 170,06 * 0) / 12 * 1/1 =</v>
      </c>
      <c r="R143" s="577" t="str">
        <f t="shared" si="89"/>
        <v>= (23,26 * 0 + 57,74 * 0 + 136,05 * 0 + 170,06 * 0) / 12 * 1/1 =</v>
      </c>
      <c r="S143" s="578"/>
      <c r="T143" s="564"/>
      <c r="U143" s="127"/>
      <c r="V143" s="127"/>
      <c r="W143" s="127"/>
      <c r="X143" s="127"/>
      <c r="Y143" s="127"/>
    </row>
    <row r="144" spans="1:25" s="565" customFormat="1">
      <c r="A144" s="575"/>
      <c r="B144" s="576"/>
      <c r="C144" s="576"/>
      <c r="D144" s="576"/>
      <c r="E144" s="576"/>
      <c r="F144" s="575"/>
      <c r="G144" s="577"/>
      <c r="H144" s="577"/>
      <c r="I144" s="577"/>
      <c r="J144" s="577"/>
      <c r="K144" s="577"/>
      <c r="L144" s="577"/>
      <c r="M144" s="577"/>
      <c r="N144" s="577"/>
      <c r="O144" s="577"/>
      <c r="P144" s="577"/>
      <c r="Q144" s="577"/>
      <c r="R144" s="577"/>
      <c r="S144" s="578"/>
      <c r="T144" s="564"/>
      <c r="U144" s="127"/>
      <c r="V144" s="127"/>
      <c r="W144" s="127"/>
      <c r="X144" s="127"/>
      <c r="Y144" s="127"/>
    </row>
    <row r="145" spans="1:25" s="565" customFormat="1">
      <c r="A145" s="575"/>
      <c r="B145" s="576">
        <f>B144+1</f>
        <v>1</v>
      </c>
      <c r="C145" s="576"/>
      <c r="D145" s="576">
        <f t="shared" ref="D145:D170" si="90">B45</f>
        <v>45</v>
      </c>
      <c r="E145" s="576"/>
      <c r="F145" s="580" t="s">
        <v>94</v>
      </c>
      <c r="G145" s="577" t="e">
        <f>"= "&amp;TEXT(VLOOKUP(G$4,basistabel12,2,0)*G$6/12,"#.000,00")&amp;" * "&amp;TEXT(G$8,"0,0000")&amp;" * "&amp;TEXT(G$3,"#0/#0")&amp;" ="</f>
        <v>#N/A</v>
      </c>
      <c r="H145" s="577" t="e">
        <f t="shared" ref="H145:R145" si="91">"= "&amp;TEXT(VLOOKUP(H4,basistabel12,2,0)*H6/12,"#.000,00")&amp;" * "&amp;TEXT(H8,"0,0000")&amp;" * "&amp;TEXT(H3,"#0/#0")&amp;" ="</f>
        <v>#N/A</v>
      </c>
      <c r="I145" s="577" t="e">
        <f t="shared" si="91"/>
        <v>#N/A</v>
      </c>
      <c r="J145" s="577" t="e">
        <f t="shared" si="91"/>
        <v>#N/A</v>
      </c>
      <c r="K145" s="577" t="e">
        <f t="shared" si="91"/>
        <v>#N/A</v>
      </c>
      <c r="L145" s="577" t="e">
        <f t="shared" si="91"/>
        <v>#N/A</v>
      </c>
      <c r="M145" s="577" t="e">
        <f t="shared" si="91"/>
        <v>#N/A</v>
      </c>
      <c r="N145" s="577" t="e">
        <f t="shared" si="91"/>
        <v>#N/A</v>
      </c>
      <c r="O145" s="577" t="e">
        <f t="shared" si="91"/>
        <v>#N/A</v>
      </c>
      <c r="P145" s="577" t="e">
        <f t="shared" si="91"/>
        <v>#N/A</v>
      </c>
      <c r="Q145" s="577" t="e">
        <f t="shared" si="91"/>
        <v>#N/A</v>
      </c>
      <c r="R145" s="577" t="e">
        <f t="shared" si="91"/>
        <v>#N/A</v>
      </c>
      <c r="S145" s="578"/>
      <c r="T145" s="564"/>
      <c r="U145" s="127"/>
      <c r="V145" s="127"/>
      <c r="W145" s="127"/>
      <c r="X145" s="127"/>
      <c r="Y145" s="127"/>
    </row>
    <row r="146" spans="1:25" s="565" customFormat="1">
      <c r="A146" s="575"/>
      <c r="B146" s="576">
        <f t="shared" ref="B146:B205" si="92">B145+1</f>
        <v>2</v>
      </c>
      <c r="C146" s="576"/>
      <c r="D146" s="576">
        <f t="shared" si="90"/>
        <v>46</v>
      </c>
      <c r="E146" s="576"/>
      <c r="F146" s="581" t="s">
        <v>95</v>
      </c>
      <c r="G146" s="577" t="e">
        <f t="shared" ref="G146:R146" si="93">"= "&amp;TEXT(VLOOKUP(G$4,omraadetabel12,G$7,0)/12,"#.000,00")&amp;" * "&amp;TEXT(G$8,"0,0000")&amp;" * "&amp;TEXT(G$3,"#0/#0")&amp;" ="</f>
        <v>#N/A</v>
      </c>
      <c r="H146" s="577" t="e">
        <f t="shared" si="93"/>
        <v>#N/A</v>
      </c>
      <c r="I146" s="577" t="e">
        <f t="shared" si="93"/>
        <v>#N/A</v>
      </c>
      <c r="J146" s="577" t="e">
        <f t="shared" si="93"/>
        <v>#N/A</v>
      </c>
      <c r="K146" s="577" t="e">
        <f t="shared" si="93"/>
        <v>#N/A</v>
      </c>
      <c r="L146" s="577" t="e">
        <f t="shared" si="93"/>
        <v>#N/A</v>
      </c>
      <c r="M146" s="577" t="e">
        <f t="shared" si="93"/>
        <v>#N/A</v>
      </c>
      <c r="N146" s="577" t="e">
        <f t="shared" si="93"/>
        <v>#N/A</v>
      </c>
      <c r="O146" s="577" t="e">
        <f t="shared" si="93"/>
        <v>#N/A</v>
      </c>
      <c r="P146" s="577" t="e">
        <f t="shared" si="93"/>
        <v>#N/A</v>
      </c>
      <c r="Q146" s="577" t="e">
        <f t="shared" si="93"/>
        <v>#N/A</v>
      </c>
      <c r="R146" s="577" t="e">
        <f t="shared" si="93"/>
        <v>#N/A</v>
      </c>
      <c r="S146" s="578"/>
      <c r="T146" s="564"/>
      <c r="U146" s="127"/>
      <c r="V146" s="127"/>
      <c r="W146" s="127"/>
      <c r="X146" s="127"/>
      <c r="Y146" s="127"/>
    </row>
    <row r="147" spans="1:25" s="565" customFormat="1">
      <c r="A147" s="575"/>
      <c r="B147" s="576">
        <f t="shared" si="92"/>
        <v>3</v>
      </c>
      <c r="C147" s="576"/>
      <c r="D147" s="576">
        <f t="shared" si="90"/>
        <v>47</v>
      </c>
      <c r="E147" s="576"/>
      <c r="F147" s="581" t="s">
        <v>183</v>
      </c>
      <c r="G147" s="577" t="str">
        <f t="shared" ref="G147" si="94">IF(LEFT(G4)="L",G142,G143)</f>
        <v>= (22,79 * 750 + 56,58 * 0 + 133,32 * 0 + 166,64 * 0) / 12 * 1/1 =</v>
      </c>
      <c r="H147" s="577" t="str">
        <f t="shared" ref="H147:R147" si="95">IF(LEFT(H4)="L",H142,H143)</f>
        <v>= (22,79 * 0 + 56,58 * 0 + 133,32 * 0 + 166,64 * 0) / 12 * 1/1 =</v>
      </c>
      <c r="I147" s="577" t="str">
        <f t="shared" si="95"/>
        <v>= (22,79 * 0 + 56,58 * 0 + 133,32 * 0 + 166,64 * 0) / 12 * 1/1 =</v>
      </c>
      <c r="J147" s="577" t="str">
        <f t="shared" si="95"/>
        <v>= (22,79 * 0 + 56,58 * 0 + 133,32 * 0 + 166,64 * 0) / 12 * 1/1 =</v>
      </c>
      <c r="K147" s="577" t="str">
        <f t="shared" si="95"/>
        <v>= (22,79 * 0 + 56,58 * 0 + 133,32 * 0 + 166,64 * 0) / 12 * 1/1 =</v>
      </c>
      <c r="L147" s="577" t="str">
        <f t="shared" si="95"/>
        <v>= (22,79 * 0 + 56,58 * 0 + 133,32 * 0 + 166,64 * 0) / 12 * 1/1 =</v>
      </c>
      <c r="M147" s="577" t="str">
        <f t="shared" si="95"/>
        <v>= (22,79 * 0 + 56,58 * 0 + 133,32 * 0 + 166,64 * 0) / 12 * 1/1 =</v>
      </c>
      <c r="N147" s="577" t="str">
        <f t="shared" si="95"/>
        <v>= (22,79 * 0 + 56,58 * 0 + 133,32 * 0 + 166,64 * 0) / 12 * 1/1 =</v>
      </c>
      <c r="O147" s="577" t="str">
        <f t="shared" si="95"/>
        <v>= (23,26 * 0 + 57,74 * 0 + 136,05 * 0 + 170,06 * 0) / 12 * 1/1 =</v>
      </c>
      <c r="P147" s="577" t="str">
        <f t="shared" si="95"/>
        <v>= (23,26 * 0 + 57,74 * 0 + 136,05 * 0 + 170,06 * 0) / 12 * 1/1 =</v>
      </c>
      <c r="Q147" s="577" t="str">
        <f t="shared" si="95"/>
        <v>= (23,26 * 0 + 57,74 * 0 + 136,05 * 0 + 170,06 * 0) / 12 * 1/1 =</v>
      </c>
      <c r="R147" s="577" t="str">
        <f t="shared" si="95"/>
        <v>= (23,26 * 0 + 57,74 * 0 + 136,05 * 0 + 170,06 * 0) / 12 * 1/1 =</v>
      </c>
      <c r="S147" s="578"/>
      <c r="T147" s="564"/>
      <c r="U147" s="127"/>
      <c r="V147" s="127"/>
      <c r="W147" s="127"/>
      <c r="X147" s="127"/>
      <c r="Y147" s="127"/>
    </row>
    <row r="148" spans="1:25" s="565" customFormat="1">
      <c r="A148" s="575"/>
      <c r="B148" s="576">
        <f t="shared" si="92"/>
        <v>4</v>
      </c>
      <c r="C148" s="576"/>
      <c r="D148" s="576">
        <f t="shared" si="90"/>
        <v>48</v>
      </c>
      <c r="E148" s="576"/>
      <c r="F148" s="581" t="s">
        <v>184</v>
      </c>
      <c r="G148" s="577" t="str">
        <f t="shared" ref="G148" si="96">"= "&amp;TEXT(ROUND(G10*G$6/12,2),"#.000,00")&amp;" * "&amp;TEXT(G$3,"#0/#0")&amp;" ="</f>
        <v>= 000,00 * 1/1 =</v>
      </c>
      <c r="H148" s="577" t="str">
        <f t="shared" ref="H148:R148" si="97">"= "&amp;TEXT(ROUND(H10*H$6/12,2),"#.000,00")&amp;" * "&amp;TEXT(H$3,"#0/#0")&amp;" ="</f>
        <v>= 000,00 * 1/1 =</v>
      </c>
      <c r="I148" s="577" t="str">
        <f t="shared" si="97"/>
        <v>= 000,00 * 1/1 =</v>
      </c>
      <c r="J148" s="577" t="str">
        <f t="shared" si="97"/>
        <v>= 000,00 * 1/1 =</v>
      </c>
      <c r="K148" s="577" t="str">
        <f t="shared" si="97"/>
        <v>= 000,00 * 1/1 =</v>
      </c>
      <c r="L148" s="577" t="str">
        <f t="shared" si="97"/>
        <v>= 000,00 * 1/1 =</v>
      </c>
      <c r="M148" s="577" t="str">
        <f t="shared" si="97"/>
        <v>= 000,00 * 1/1 =</v>
      </c>
      <c r="N148" s="577" t="str">
        <f t="shared" si="97"/>
        <v>= 000,00 * 1/1 =</v>
      </c>
      <c r="O148" s="577" t="str">
        <f t="shared" si="97"/>
        <v>= 000,00 * 1/1 =</v>
      </c>
      <c r="P148" s="577" t="str">
        <f t="shared" si="97"/>
        <v>= 000,00 * 1/1 =</v>
      </c>
      <c r="Q148" s="577" t="str">
        <f t="shared" si="97"/>
        <v>= 000,00 * 1/1 =</v>
      </c>
      <c r="R148" s="577" t="str">
        <f t="shared" si="97"/>
        <v>= 000,00 * 1/1 =</v>
      </c>
      <c r="S148" s="578"/>
      <c r="T148" s="564"/>
      <c r="U148" s="127"/>
      <c r="V148" s="127"/>
      <c r="W148" s="127"/>
      <c r="X148" s="127"/>
      <c r="Y148" s="127"/>
    </row>
    <row r="149" spans="1:25" s="565" customFormat="1">
      <c r="A149" s="575"/>
      <c r="B149" s="576">
        <f t="shared" si="92"/>
        <v>5</v>
      </c>
      <c r="C149" s="576"/>
      <c r="D149" s="576">
        <f t="shared" si="90"/>
        <v>49</v>
      </c>
      <c r="E149" s="576"/>
      <c r="F149" s="581" t="s">
        <v>185</v>
      </c>
      <c r="G149" s="577" t="str">
        <f t="shared" ref="G149:N154" si="98">"= "&amp;TEXT(G11,"#.###,00")&amp;" * "&amp;G$6&amp;IF($D49&gt;0," * "&amp;TEXT(G$8,"0,0000"),"")&amp;" * "&amp;TEXT(G$3,"#0/#0")&amp;" / 12 ="</f>
        <v>= ,00 * 1,017162 * 1/1 / 12 =</v>
      </c>
      <c r="H149" s="577" t="str">
        <f t="shared" ref="H149:R149" si="99">"= "&amp;TEXT(H11,"#.###,00")&amp;" * "&amp;H$6&amp;IF($D49&gt;0," * "&amp;TEXT(H$8,"0,0000"),"")&amp;" * "&amp;TEXT(H$3,"#0/#0")&amp;" / 12 ="</f>
        <v>= ,00 * 1,017162 * 1/1 / 12 =</v>
      </c>
      <c r="I149" s="577" t="str">
        <f t="shared" si="99"/>
        <v>= ,00 * 1,017162 * 1/1 / 12 =</v>
      </c>
      <c r="J149" s="577" t="str">
        <f t="shared" si="99"/>
        <v>= ,00 * 1,017162 * 1/1 / 12 =</v>
      </c>
      <c r="K149" s="577" t="str">
        <f t="shared" si="99"/>
        <v>= ,00 * 1,017162 * 1/1 / 12 =</v>
      </c>
      <c r="L149" s="577" t="str">
        <f t="shared" si="99"/>
        <v>= ,00 * 1,017162 * 1/1 / 12 =</v>
      </c>
      <c r="M149" s="577" t="str">
        <f t="shared" si="99"/>
        <v>= ,00 * 1,017162 * 1/1 / 12 =</v>
      </c>
      <c r="N149" s="577" t="str">
        <f t="shared" si="99"/>
        <v>= ,00 * 1,017162 * 1/1 / 12 =</v>
      </c>
      <c r="O149" s="577" t="str">
        <f t="shared" si="99"/>
        <v>= ,00 * 1,038 * 1/1 / 12 =</v>
      </c>
      <c r="P149" s="577" t="str">
        <f t="shared" si="99"/>
        <v>= ,00 * 1,038 * 1/1 / 12 =</v>
      </c>
      <c r="Q149" s="577" t="str">
        <f t="shared" si="99"/>
        <v>= ,00 * 1,038 * 1/1 / 12 =</v>
      </c>
      <c r="R149" s="577" t="str">
        <f t="shared" si="99"/>
        <v>= ,00 * 1,038 * 1/1 / 12 =</v>
      </c>
      <c r="S149" s="578"/>
      <c r="T149" s="564"/>
      <c r="U149" s="127"/>
      <c r="V149" s="127"/>
      <c r="W149" s="127"/>
      <c r="X149" s="127"/>
      <c r="Y149" s="127"/>
    </row>
    <row r="150" spans="1:25" s="565" customFormat="1">
      <c r="A150" s="575"/>
      <c r="B150" s="576">
        <f t="shared" si="92"/>
        <v>6</v>
      </c>
      <c r="C150" s="576"/>
      <c r="D150" s="576">
        <f t="shared" si="90"/>
        <v>50</v>
      </c>
      <c r="E150" s="576"/>
      <c r="F150" s="581" t="s">
        <v>186</v>
      </c>
      <c r="G150" s="577" t="str">
        <f t="shared" si="98"/>
        <v>= ,00 * 1,017162 * 1/1 / 12 =</v>
      </c>
      <c r="H150" s="577" t="str">
        <f t="shared" ref="H150:R150" si="100">"= "&amp;TEXT(H12,"#.###,00")&amp;" * "&amp;H$6&amp;IF($D50&gt;0," * "&amp;TEXT(H$8,"0,0000"),"")&amp;" * "&amp;TEXT(H$3,"#0/#0")&amp;" / 12 ="</f>
        <v>= ,00 * 1,017162 * 1/1 / 12 =</v>
      </c>
      <c r="I150" s="577" t="str">
        <f t="shared" si="100"/>
        <v>= ,00 * 1,017162 * 1/1 / 12 =</v>
      </c>
      <c r="J150" s="577" t="str">
        <f t="shared" si="100"/>
        <v>= ,00 * 1,017162 * 1/1 / 12 =</v>
      </c>
      <c r="K150" s="577" t="str">
        <f t="shared" si="100"/>
        <v>= ,00 * 1,017162 * 1/1 / 12 =</v>
      </c>
      <c r="L150" s="577" t="str">
        <f t="shared" si="100"/>
        <v>= ,00 * 1,017162 * 1/1 / 12 =</v>
      </c>
      <c r="M150" s="577" t="str">
        <f t="shared" si="100"/>
        <v>= ,00 * 1,017162 * 1/1 / 12 =</v>
      </c>
      <c r="N150" s="577" t="str">
        <f t="shared" si="100"/>
        <v>= ,00 * 1,017162 * 1/1 / 12 =</v>
      </c>
      <c r="O150" s="577" t="str">
        <f t="shared" si="100"/>
        <v>= ,00 * 1,038 * 1/1 / 12 =</v>
      </c>
      <c r="P150" s="577" t="str">
        <f t="shared" si="100"/>
        <v>= ,00 * 1,038 * 1/1 / 12 =</v>
      </c>
      <c r="Q150" s="577" t="str">
        <f t="shared" si="100"/>
        <v>= ,00 * 1,038 * 1/1 / 12 =</v>
      </c>
      <c r="R150" s="577" t="str">
        <f t="shared" si="100"/>
        <v>= ,00 * 1,038 * 1/1 / 12 =</v>
      </c>
      <c r="S150" s="578"/>
      <c r="T150" s="564"/>
      <c r="U150" s="127"/>
      <c r="V150" s="127"/>
      <c r="W150" s="127"/>
      <c r="X150" s="127"/>
      <c r="Y150" s="127"/>
    </row>
    <row r="151" spans="1:25" s="565" customFormat="1">
      <c r="A151" s="575"/>
      <c r="B151" s="576">
        <f t="shared" si="92"/>
        <v>7</v>
      </c>
      <c r="C151" s="576"/>
      <c r="D151" s="576">
        <f t="shared" si="90"/>
        <v>51</v>
      </c>
      <c r="E151" s="576"/>
      <c r="F151" s="581" t="s">
        <v>187</v>
      </c>
      <c r="G151" s="577" t="str">
        <f t="shared" si="98"/>
        <v>= ,00 * 1,017162 * 1/1 / 12 =</v>
      </c>
      <c r="H151" s="577" t="str">
        <f t="shared" si="98"/>
        <v>= ,00 * 1,017162 * 1/1 / 12 =</v>
      </c>
      <c r="I151" s="577" t="str">
        <f t="shared" si="98"/>
        <v>= ,00 * 1,017162 * 1/1 / 12 =</v>
      </c>
      <c r="J151" s="577" t="str">
        <f t="shared" si="98"/>
        <v>= ,00 * 1,017162 * 1/1 / 12 =</v>
      </c>
      <c r="K151" s="577" t="str">
        <f t="shared" si="98"/>
        <v>= ,00 * 1,017162 * 1/1 / 12 =</v>
      </c>
      <c r="L151" s="577" t="str">
        <f t="shared" si="98"/>
        <v>= ,00 * 1,017162 * 1/1 / 12 =</v>
      </c>
      <c r="M151" s="577" t="str">
        <f t="shared" si="98"/>
        <v>= ,00 * 1,017162 * 1/1 / 12 =</v>
      </c>
      <c r="N151" s="577" t="str">
        <f t="shared" si="98"/>
        <v>= ,00 * 1,017162 * 1/1 / 12 =</v>
      </c>
      <c r="O151" s="577" t="str">
        <f t="shared" ref="O151:R154" si="101">"= "&amp;TEXT(O13,"#.###,00")&amp;" * "&amp;O$6&amp;IF($D51&gt;0," * "&amp;TEXT(O$8,"0,0000"),"")&amp;" * "&amp;TEXT(O$3,"#0/#0")&amp;" / 12 ="</f>
        <v>= ,00 * 1,038 * 1/1 / 12 =</v>
      </c>
      <c r="P151" s="577" t="str">
        <f t="shared" si="101"/>
        <v>= ,00 * 1,038 * 1/1 / 12 =</v>
      </c>
      <c r="Q151" s="577" t="str">
        <f t="shared" si="101"/>
        <v>= ,00 * 1,038 * 1/1 / 12 =</v>
      </c>
      <c r="R151" s="577" t="str">
        <f t="shared" si="101"/>
        <v>= ,00 * 1,038 * 1/1 / 12 =</v>
      </c>
      <c r="S151" s="578"/>
      <c r="T151" s="564"/>
      <c r="U151" s="127"/>
      <c r="V151" s="127"/>
      <c r="W151" s="127"/>
      <c r="X151" s="127"/>
      <c r="Y151" s="127"/>
    </row>
    <row r="152" spans="1:25" s="565" customFormat="1">
      <c r="A152" s="575"/>
      <c r="B152" s="576">
        <f t="shared" si="92"/>
        <v>8</v>
      </c>
      <c r="C152" s="576"/>
      <c r="D152" s="576">
        <f t="shared" si="90"/>
        <v>52</v>
      </c>
      <c r="E152" s="576"/>
      <c r="F152" s="581" t="s">
        <v>188</v>
      </c>
      <c r="G152" s="577" t="str">
        <f t="shared" si="98"/>
        <v>= ,00 * 1,017162 * 0,0000 * 1/1 / 12 =</v>
      </c>
      <c r="H152" s="577" t="str">
        <f t="shared" si="98"/>
        <v>= ,00 * 1,017162 * 0,0000 * 1/1 / 12 =</v>
      </c>
      <c r="I152" s="577" t="str">
        <f t="shared" si="98"/>
        <v>= ,00 * 1,017162 * 0,0000 * 1/1 / 12 =</v>
      </c>
      <c r="J152" s="577" t="str">
        <f t="shared" si="98"/>
        <v>= ,00 * 1,017162 * 0,0000 * 1/1 / 12 =</v>
      </c>
      <c r="K152" s="577" t="str">
        <f t="shared" si="98"/>
        <v>= ,00 * 1,017162 * 0,0000 * 1/1 / 12 =</v>
      </c>
      <c r="L152" s="577" t="str">
        <f t="shared" si="98"/>
        <v>= ,00 * 1,017162 * 0,0000 * 1/1 / 12 =</v>
      </c>
      <c r="M152" s="577" t="str">
        <f t="shared" si="98"/>
        <v>= ,00 * 1,017162 * 0,0000 * 1/1 / 12 =</v>
      </c>
      <c r="N152" s="577" t="str">
        <f t="shared" si="98"/>
        <v>= ,00 * 1,017162 * 0,0000 * 1/1 / 12 =</v>
      </c>
      <c r="O152" s="577" t="str">
        <f t="shared" si="101"/>
        <v>= ,00 * 1,038 * 0,0000 * 1/1 / 12 =</v>
      </c>
      <c r="P152" s="577" t="str">
        <f t="shared" si="101"/>
        <v>= ,00 * 1,038 * 0,0000 * 1/1 / 12 =</v>
      </c>
      <c r="Q152" s="577" t="str">
        <f t="shared" si="101"/>
        <v>= ,00 * 1,038 * 0,0000 * 1/1 / 12 =</v>
      </c>
      <c r="R152" s="577" t="str">
        <f t="shared" si="101"/>
        <v>= ,00 * 1,038 * 0,0000 * 1/1 / 12 =</v>
      </c>
      <c r="S152" s="578"/>
      <c r="T152" s="564"/>
      <c r="U152" s="127"/>
      <c r="V152" s="127"/>
      <c r="W152" s="127"/>
      <c r="X152" s="127"/>
      <c r="Y152" s="127"/>
    </row>
    <row r="153" spans="1:25" s="565" customFormat="1">
      <c r="A153" s="575"/>
      <c r="B153" s="576">
        <f t="shared" si="92"/>
        <v>9</v>
      </c>
      <c r="C153" s="576"/>
      <c r="D153" s="576">
        <f t="shared" si="90"/>
        <v>53</v>
      </c>
      <c r="E153" s="576"/>
      <c r="F153" s="581" t="s">
        <v>189</v>
      </c>
      <c r="G153" s="577" t="str">
        <f t="shared" si="98"/>
        <v>= ,00 * 1,017162 * 1/1 / 12 =</v>
      </c>
      <c r="H153" s="577" t="str">
        <f t="shared" si="98"/>
        <v>= ,00 * 1,017162 * 1/1 / 12 =</v>
      </c>
      <c r="I153" s="577" t="str">
        <f t="shared" si="98"/>
        <v>= ,00 * 1,017162 * 1/1 / 12 =</v>
      </c>
      <c r="J153" s="577" t="str">
        <f t="shared" si="98"/>
        <v>= ,00 * 1,017162 * 1/1 / 12 =</v>
      </c>
      <c r="K153" s="577" t="str">
        <f t="shared" si="98"/>
        <v>= ,00 * 1,017162 * 1/1 / 12 =</v>
      </c>
      <c r="L153" s="577" t="str">
        <f t="shared" si="98"/>
        <v>= ,00 * 1,017162 * 1/1 / 12 =</v>
      </c>
      <c r="M153" s="577" t="str">
        <f t="shared" si="98"/>
        <v>= ,00 * 1,017162 * 1/1 / 12 =</v>
      </c>
      <c r="N153" s="577" t="str">
        <f t="shared" si="98"/>
        <v>= ,00 * 1,017162 * 1/1 / 12 =</v>
      </c>
      <c r="O153" s="577" t="str">
        <f t="shared" si="101"/>
        <v>= ,00 * 1,038 * 1/1 / 12 =</v>
      </c>
      <c r="P153" s="577" t="str">
        <f t="shared" si="101"/>
        <v>= ,00 * 1,038 * 1/1 / 12 =</v>
      </c>
      <c r="Q153" s="577" t="str">
        <f t="shared" si="101"/>
        <v>= ,00 * 1,038 * 1/1 / 12 =</v>
      </c>
      <c r="R153" s="577" t="str">
        <f t="shared" si="101"/>
        <v>= ,00 * 1,038 * 1/1 / 12 =</v>
      </c>
      <c r="S153" s="578"/>
      <c r="T153" s="564"/>
      <c r="U153" s="127"/>
      <c r="V153" s="127"/>
      <c r="W153" s="127"/>
      <c r="X153" s="127"/>
      <c r="Y153" s="127"/>
    </row>
    <row r="154" spans="1:25" s="565" customFormat="1">
      <c r="A154" s="575"/>
      <c r="B154" s="576">
        <f t="shared" si="92"/>
        <v>10</v>
      </c>
      <c r="C154" s="576"/>
      <c r="D154" s="576">
        <f t="shared" si="90"/>
        <v>54</v>
      </c>
      <c r="E154" s="576"/>
      <c r="F154" s="581" t="s">
        <v>190</v>
      </c>
      <c r="G154" s="577" t="str">
        <f t="shared" si="98"/>
        <v>= ,00 * 1,017162 * 1/1 / 12 =</v>
      </c>
      <c r="H154" s="577" t="str">
        <f t="shared" si="98"/>
        <v>= ,00 * 1,017162 * 1/1 / 12 =</v>
      </c>
      <c r="I154" s="577" t="str">
        <f t="shared" si="98"/>
        <v>= ,00 * 1,017162 * 1/1 / 12 =</v>
      </c>
      <c r="J154" s="577" t="str">
        <f t="shared" si="98"/>
        <v>= ,00 * 1,017162 * 1/1 / 12 =</v>
      </c>
      <c r="K154" s="577" t="str">
        <f t="shared" si="98"/>
        <v>= ,00 * 1,017162 * 1/1 / 12 =</v>
      </c>
      <c r="L154" s="577" t="str">
        <f t="shared" si="98"/>
        <v>= ,00 * 1,017162 * 1/1 / 12 =</v>
      </c>
      <c r="M154" s="577" t="str">
        <f t="shared" si="98"/>
        <v>= ,00 * 1,017162 * 1/1 / 12 =</v>
      </c>
      <c r="N154" s="577" t="str">
        <f t="shared" si="98"/>
        <v>= ,00 * 1,017162 * 1/1 / 12 =</v>
      </c>
      <c r="O154" s="577" t="str">
        <f t="shared" si="101"/>
        <v>= ,00 * 1,038 * 1/1 / 12 =</v>
      </c>
      <c r="P154" s="577" t="str">
        <f t="shared" si="101"/>
        <v>= ,00 * 1,038 * 1/1 / 12 =</v>
      </c>
      <c r="Q154" s="577" t="str">
        <f t="shared" si="101"/>
        <v>= ,00 * 1,038 * 1/1 / 12 =</v>
      </c>
      <c r="R154" s="577" t="str">
        <f t="shared" si="101"/>
        <v>= ,00 * 1,038 * 1/1 / 12 =</v>
      </c>
      <c r="S154" s="578"/>
      <c r="T154" s="564"/>
      <c r="U154" s="127"/>
      <c r="V154" s="127"/>
      <c r="W154" s="127"/>
      <c r="X154" s="127"/>
      <c r="Y154" s="127"/>
    </row>
    <row r="155" spans="1:25" s="565" customFormat="1">
      <c r="A155" s="575"/>
      <c r="B155" s="576">
        <f t="shared" si="92"/>
        <v>11</v>
      </c>
      <c r="C155" s="576"/>
      <c r="D155" s="576">
        <f t="shared" si="90"/>
        <v>55</v>
      </c>
      <c r="E155" s="576"/>
      <c r="F155" s="581" t="s">
        <v>367</v>
      </c>
      <c r="G155" s="577" t="str">
        <f t="shared" ref="G155:R155" si="102">"= "&amp;TEXT(G17,"#.###,00")&amp;" * "&amp;G$6&amp;" * "&amp;TEXT(G$8,"0,0000")&amp;" * "&amp;TEXT(G$3,"#0/#0")&amp;" / 12 ="</f>
        <v>= ,00 * 1,017162 * 0,0000 * 1/1 / 12 =</v>
      </c>
      <c r="H155" s="577" t="str">
        <f t="shared" si="102"/>
        <v>= ,00 * 1,017162 * 0,0000 * 1/1 / 12 =</v>
      </c>
      <c r="I155" s="577" t="str">
        <f t="shared" si="102"/>
        <v>= ,00 * 1,017162 * 0,0000 * 1/1 / 12 =</v>
      </c>
      <c r="J155" s="577" t="str">
        <f t="shared" si="102"/>
        <v>= ,00 * 1,017162 * 0,0000 * 1/1 / 12 =</v>
      </c>
      <c r="K155" s="577" t="str">
        <f t="shared" si="102"/>
        <v>= ,00 * 1,017162 * 0,0000 * 1/1 / 12 =</v>
      </c>
      <c r="L155" s="577" t="str">
        <f t="shared" si="102"/>
        <v>= ,00 * 1,017162 * 0,0000 * 1/1 / 12 =</v>
      </c>
      <c r="M155" s="577" t="str">
        <f t="shared" si="102"/>
        <v>= ,00 * 1,017162 * 0,0000 * 1/1 / 12 =</v>
      </c>
      <c r="N155" s="577" t="str">
        <f t="shared" si="102"/>
        <v>= ,00 * 1,017162 * 0,0000 * 1/1 / 12 =</v>
      </c>
      <c r="O155" s="577" t="str">
        <f t="shared" si="102"/>
        <v>= ,00 * 1,038 * 0,0000 * 1/1 / 12 =</v>
      </c>
      <c r="P155" s="577" t="str">
        <f t="shared" si="102"/>
        <v>= ,00 * 1,038 * 0,0000 * 1/1 / 12 =</v>
      </c>
      <c r="Q155" s="577" t="str">
        <f t="shared" si="102"/>
        <v>= ,00 * 1,038 * 0,0000 * 1/1 / 12 =</v>
      </c>
      <c r="R155" s="577" t="str">
        <f t="shared" si="102"/>
        <v>= ,00 * 1,038 * 0,0000 * 1/1 / 12 =</v>
      </c>
      <c r="S155" s="578"/>
      <c r="T155" s="564"/>
      <c r="U155" s="127"/>
      <c r="V155" s="127"/>
      <c r="W155" s="127"/>
      <c r="X155" s="127"/>
      <c r="Y155" s="127"/>
    </row>
    <row r="156" spans="1:25" s="565" customFormat="1">
      <c r="A156" s="575"/>
      <c r="B156" s="576">
        <f t="shared" si="92"/>
        <v>12</v>
      </c>
      <c r="C156" s="576"/>
      <c r="D156" s="576">
        <f t="shared" si="90"/>
        <v>56</v>
      </c>
      <c r="E156" s="576"/>
      <c r="F156" s="581" t="s">
        <v>125</v>
      </c>
      <c r="G156" s="577" t="str">
        <f t="shared" ref="G156:R156" si="103">"= "&amp;TEXT(G18,"#.###,00")&amp;" * "&amp;G$6&amp;" * "&amp;TEXT(G$8,"0,0000")&amp;" * "&amp;TEXT(G$3,"#0/#0")&amp;" / 12 ="</f>
        <v>= ,00 * 1,017162 * 0,0000 * 1/1 / 12 =</v>
      </c>
      <c r="H156" s="577" t="str">
        <f t="shared" si="103"/>
        <v>= ,00 * 1,017162 * 0,0000 * 1/1 / 12 =</v>
      </c>
      <c r="I156" s="577" t="str">
        <f t="shared" si="103"/>
        <v>= ,00 * 1,017162 * 0,0000 * 1/1 / 12 =</v>
      </c>
      <c r="J156" s="577" t="str">
        <f t="shared" si="103"/>
        <v>= ,00 * 1,017162 * 0,0000 * 1/1 / 12 =</v>
      </c>
      <c r="K156" s="577" t="str">
        <f t="shared" si="103"/>
        <v>= ,00 * 1,017162 * 0,0000 * 1/1 / 12 =</v>
      </c>
      <c r="L156" s="577" t="str">
        <f t="shared" si="103"/>
        <v>= ,00 * 1,017162 * 0,0000 * 1/1 / 12 =</v>
      </c>
      <c r="M156" s="577" t="str">
        <f t="shared" si="103"/>
        <v>= ,00 * 1,017162 * 0,0000 * 1/1 / 12 =</v>
      </c>
      <c r="N156" s="577" t="str">
        <f t="shared" si="103"/>
        <v>= ,00 * 1,017162 * 0,0000 * 1/1 / 12 =</v>
      </c>
      <c r="O156" s="577" t="str">
        <f t="shared" si="103"/>
        <v>= ,00 * 1,038 * 0,0000 * 1/1 / 12 =</v>
      </c>
      <c r="P156" s="577" t="str">
        <f t="shared" si="103"/>
        <v>= ,00 * 1,038 * 0,0000 * 1/1 / 12 =</v>
      </c>
      <c r="Q156" s="577" t="str">
        <f t="shared" si="103"/>
        <v>= ,00 * 1,038 * 0,0000 * 1/1 / 12 =</v>
      </c>
      <c r="R156" s="577" t="str">
        <f t="shared" si="103"/>
        <v>= ,00 * 1,038 * 0,0000 * 1/1 / 12 =</v>
      </c>
      <c r="S156" s="578"/>
      <c r="T156" s="564"/>
      <c r="U156" s="127"/>
      <c r="V156" s="127"/>
      <c r="W156" s="127"/>
      <c r="X156" s="127"/>
      <c r="Y156" s="127"/>
    </row>
    <row r="157" spans="1:25" s="565" customFormat="1">
      <c r="A157" s="575"/>
      <c r="B157" s="576">
        <f t="shared" si="92"/>
        <v>13</v>
      </c>
      <c r="C157" s="576"/>
      <c r="D157" s="576">
        <f t="shared" si="90"/>
        <v>57</v>
      </c>
      <c r="E157" s="576"/>
      <c r="F157" s="581" t="s">
        <v>401</v>
      </c>
      <c r="G157" s="577" t="str">
        <f t="shared" ref="G157:R157" si="104">"= "&amp;TEXT(IF(RIGHT(G4)="1",5200)+IF(RIGHT(G4)="2",7900)+IF(RIGHT(G4)="3",7900),"#.###")&amp;" * "&amp;G$6&amp;" * "&amp;TEXT(G$8,"0,0000")&amp;" * "&amp;TEXT(G$3,"#0/#0")&amp;" / 12 ="</f>
        <v>=  * 1,017162 * 0,0000 * 1/1 / 12 =</v>
      </c>
      <c r="H157" s="577" t="str">
        <f t="shared" si="104"/>
        <v>=  * 1,017162 * 0,0000 * 1/1 / 12 =</v>
      </c>
      <c r="I157" s="577" t="str">
        <f t="shared" si="104"/>
        <v>=  * 1,017162 * 0,0000 * 1/1 / 12 =</v>
      </c>
      <c r="J157" s="577" t="str">
        <f t="shared" si="104"/>
        <v>=  * 1,017162 * 0,0000 * 1/1 / 12 =</v>
      </c>
      <c r="K157" s="577" t="str">
        <f t="shared" si="104"/>
        <v>=  * 1,017162 * 0,0000 * 1/1 / 12 =</v>
      </c>
      <c r="L157" s="577" t="str">
        <f t="shared" si="104"/>
        <v>=  * 1,017162 * 0,0000 * 1/1 / 12 =</v>
      </c>
      <c r="M157" s="577" t="str">
        <f t="shared" si="104"/>
        <v>=  * 1,017162 * 0,0000 * 1/1 / 12 =</v>
      </c>
      <c r="N157" s="577" t="str">
        <f t="shared" si="104"/>
        <v>=  * 1,017162 * 0,0000 * 1/1 / 12 =</v>
      </c>
      <c r="O157" s="577" t="str">
        <f t="shared" si="104"/>
        <v>=  * 1,038 * 0,0000 * 1/1 / 12 =</v>
      </c>
      <c r="P157" s="577" t="str">
        <f t="shared" si="104"/>
        <v>=  * 1,038 * 0,0000 * 1/1 / 12 =</v>
      </c>
      <c r="Q157" s="577" t="str">
        <f t="shared" si="104"/>
        <v>=  * 1,038 * 0,0000 * 1/1 / 12 =</v>
      </c>
      <c r="R157" s="577" t="str">
        <f t="shared" si="104"/>
        <v>=  * 1,038 * 0,0000 * 1/1 / 12 =</v>
      </c>
      <c r="S157" s="578"/>
      <c r="T157" s="564"/>
      <c r="U157" s="127"/>
      <c r="V157" s="127"/>
      <c r="W157" s="127"/>
      <c r="X157" s="127"/>
      <c r="Y157" s="127"/>
    </row>
    <row r="158" spans="1:25" s="565" customFormat="1">
      <c r="A158" s="575"/>
      <c r="B158" s="576">
        <f t="shared" si="92"/>
        <v>14</v>
      </c>
      <c r="C158" s="576"/>
      <c r="D158" s="576">
        <f t="shared" si="90"/>
        <v>58</v>
      </c>
      <c r="E158" s="576"/>
      <c r="F158" s="581" t="s">
        <v>376</v>
      </c>
      <c r="G158" s="577" t="str">
        <f t="shared" ref="G158:R158" si="105">"= 2.800 * "&amp;G6&amp;" * "&amp;TEXT(G$8,"0,0000")&amp;" * "&amp;TEXT(G$3,"#0/#0")&amp;" / 12 ="</f>
        <v>= 2.800 * 1,017162 * 0,0000 * 1/1 / 12 =</v>
      </c>
      <c r="H158" s="577" t="str">
        <f t="shared" si="105"/>
        <v>= 2.800 * 1,017162 * 0,0000 * 1/1 / 12 =</v>
      </c>
      <c r="I158" s="577" t="str">
        <f t="shared" si="105"/>
        <v>= 2.800 * 1,017162 * 0,0000 * 1/1 / 12 =</v>
      </c>
      <c r="J158" s="577" t="str">
        <f t="shared" si="105"/>
        <v>= 2.800 * 1,017162 * 0,0000 * 1/1 / 12 =</v>
      </c>
      <c r="K158" s="577" t="str">
        <f t="shared" si="105"/>
        <v>= 2.800 * 1,017162 * 0,0000 * 1/1 / 12 =</v>
      </c>
      <c r="L158" s="577" t="str">
        <f t="shared" si="105"/>
        <v>= 2.800 * 1,017162 * 0,0000 * 1/1 / 12 =</v>
      </c>
      <c r="M158" s="577" t="str">
        <f t="shared" si="105"/>
        <v>= 2.800 * 1,017162 * 0,0000 * 1/1 / 12 =</v>
      </c>
      <c r="N158" s="577" t="str">
        <f t="shared" si="105"/>
        <v>= 2.800 * 1,017162 * 0,0000 * 1/1 / 12 =</v>
      </c>
      <c r="O158" s="577" t="str">
        <f t="shared" si="105"/>
        <v>= 2.800 * 1,038 * 0,0000 * 1/1 / 12 =</v>
      </c>
      <c r="P158" s="577" t="str">
        <f t="shared" si="105"/>
        <v>= 2.800 * 1,038 * 0,0000 * 1/1 / 12 =</v>
      </c>
      <c r="Q158" s="577" t="str">
        <f t="shared" si="105"/>
        <v>= 2.800 * 1,038 * 0,0000 * 1/1 / 12 =</v>
      </c>
      <c r="R158" s="577" t="str">
        <f t="shared" si="105"/>
        <v>= 2.800 * 1,038 * 0,0000 * 1/1 / 12 =</v>
      </c>
      <c r="S158" s="578"/>
      <c r="T158" s="564"/>
      <c r="U158" s="127"/>
      <c r="V158" s="127"/>
      <c r="W158" s="127"/>
      <c r="X158" s="127"/>
      <c r="Y158" s="127"/>
    </row>
    <row r="159" spans="1:25" s="565" customFormat="1">
      <c r="A159" s="575"/>
      <c r="B159" s="576">
        <f t="shared" si="92"/>
        <v>15</v>
      </c>
      <c r="C159" s="576"/>
      <c r="D159" s="576">
        <f t="shared" si="90"/>
        <v>59</v>
      </c>
      <c r="E159" s="576"/>
      <c r="F159" s="581" t="s">
        <v>191</v>
      </c>
      <c r="G159" s="577" t="str">
        <f t="shared" ref="G159:R159" si="106">" = "&amp;IF(G$8&gt;=0.5,708,354)&amp;" * "&amp;G6&amp;" * "&amp;TEXT(G$3,"#0/#0")&amp;" / 12 ="</f>
        <v xml:space="preserve"> = 354 * 1,017162 * 1/1 / 12 =</v>
      </c>
      <c r="H159" s="577" t="str">
        <f t="shared" si="106"/>
        <v xml:space="preserve"> = 354 * 1,017162 * 1/1 / 12 =</v>
      </c>
      <c r="I159" s="577" t="str">
        <f t="shared" si="106"/>
        <v xml:space="preserve"> = 354 * 1,017162 * 1/1 / 12 =</v>
      </c>
      <c r="J159" s="577" t="str">
        <f t="shared" si="106"/>
        <v xml:space="preserve"> = 354 * 1,017162 * 1/1 / 12 =</v>
      </c>
      <c r="K159" s="577" t="str">
        <f t="shared" si="106"/>
        <v xml:space="preserve"> = 354 * 1,017162 * 1/1 / 12 =</v>
      </c>
      <c r="L159" s="577" t="str">
        <f t="shared" si="106"/>
        <v xml:space="preserve"> = 354 * 1,017162 * 1/1 / 12 =</v>
      </c>
      <c r="M159" s="577" t="str">
        <f t="shared" si="106"/>
        <v xml:space="preserve"> = 354 * 1,017162 * 1/1 / 12 =</v>
      </c>
      <c r="N159" s="577" t="str">
        <f t="shared" si="106"/>
        <v xml:space="preserve"> = 354 * 1,017162 * 1/1 / 12 =</v>
      </c>
      <c r="O159" s="577" t="str">
        <f t="shared" si="106"/>
        <v xml:space="preserve"> = 354 * 1,038 * 1/1 / 12 =</v>
      </c>
      <c r="P159" s="577" t="str">
        <f t="shared" si="106"/>
        <v xml:space="preserve"> = 354 * 1,038 * 1/1 / 12 =</v>
      </c>
      <c r="Q159" s="577" t="str">
        <f t="shared" si="106"/>
        <v xml:space="preserve"> = 354 * 1,038 * 1/1 / 12 =</v>
      </c>
      <c r="R159" s="577" t="str">
        <f t="shared" si="106"/>
        <v xml:space="preserve"> = 354 * 1,038 * 1/1 / 12 =</v>
      </c>
      <c r="S159" s="578"/>
      <c r="T159" s="564"/>
      <c r="U159" s="127"/>
      <c r="V159" s="127"/>
      <c r="W159" s="127"/>
      <c r="X159" s="127"/>
      <c r="Y159" s="127"/>
    </row>
    <row r="160" spans="1:25" s="565" customFormat="1">
      <c r="A160" s="575"/>
      <c r="B160" s="576">
        <f t="shared" si="92"/>
        <v>16</v>
      </c>
      <c r="C160" s="576"/>
      <c r="D160" s="576">
        <f t="shared" si="90"/>
        <v>60</v>
      </c>
      <c r="E160" s="576"/>
      <c r="F160" s="581" t="s">
        <v>171</v>
      </c>
      <c r="G160" s="577" t="str">
        <f t="shared" ref="G160:R160" si="107">"= "&amp;TEXT(G20,"#.###,00")&amp;" * "&amp;IF(E20&gt;0,G$6,"")&amp;IF($D20&gt;0," * "&amp;TEXT(G$8,"0,0000"),"")&amp;" * "&amp;TEXT(G$3,"#0/#0")&amp;" / 12 ="</f>
        <v>= ,00 * 1,017162 * 0,0000 * 1/1 / 12 =</v>
      </c>
      <c r="H160" s="577" t="str">
        <f t="shared" si="107"/>
        <v>= ,00 * 1,017162 * 0,0000 * 1/1 / 12 =</v>
      </c>
      <c r="I160" s="577" t="str">
        <f t="shared" si="107"/>
        <v>= ,00 *  * 0,0000 * 1/1 / 12 =</v>
      </c>
      <c r="J160" s="577" t="str">
        <f t="shared" si="107"/>
        <v>= ,00 *  * 0,0000 * 1/1 / 12 =</v>
      </c>
      <c r="K160" s="577" t="str">
        <f t="shared" si="107"/>
        <v>= ,00 *  * 0,0000 * 1/1 / 12 =</v>
      </c>
      <c r="L160" s="577" t="str">
        <f t="shared" si="107"/>
        <v>= ,00 *  * 0,0000 * 1/1 / 12 =</v>
      </c>
      <c r="M160" s="577" t="str">
        <f t="shared" si="107"/>
        <v>= ,00 *  * 0,0000 * 1/1 / 12 =</v>
      </c>
      <c r="N160" s="577" t="str">
        <f t="shared" si="107"/>
        <v>= ,00 *  * 0,0000 * 1/1 / 12 =</v>
      </c>
      <c r="O160" s="577" t="str">
        <f t="shared" si="107"/>
        <v>= ,00 *  * 0,0000 * 1/1 / 12 =</v>
      </c>
      <c r="P160" s="577" t="str">
        <f t="shared" si="107"/>
        <v>= ,00 *  * 0,0000 * 1/1 / 12 =</v>
      </c>
      <c r="Q160" s="577" t="str">
        <f t="shared" si="107"/>
        <v>= ,00 *  * 0,0000 * 1/1 / 12 =</v>
      </c>
      <c r="R160" s="577" t="str">
        <f t="shared" si="107"/>
        <v>= ,00 *  * 0,0000 * 1/1 / 12 =</v>
      </c>
      <c r="S160" s="578"/>
      <c r="T160" s="564"/>
      <c r="U160" s="127"/>
      <c r="V160" s="127"/>
      <c r="W160" s="127"/>
      <c r="X160" s="127"/>
      <c r="Y160" s="127"/>
    </row>
    <row r="161" spans="1:25" s="565" customFormat="1">
      <c r="A161" s="575"/>
      <c r="B161" s="576">
        <f t="shared" si="92"/>
        <v>17</v>
      </c>
      <c r="C161" s="576"/>
      <c r="D161" s="576">
        <f t="shared" si="90"/>
        <v>61</v>
      </c>
      <c r="E161" s="576"/>
      <c r="F161" s="581" t="s">
        <v>172</v>
      </c>
      <c r="G161" s="577" t="str">
        <f>"= 108,35 * "&amp;TEXT(G$3,"#0/#0")&amp;" ="</f>
        <v>= 108,35 * 1/1 =</v>
      </c>
      <c r="H161" s="577" t="str">
        <f t="shared" ref="H161:R161" si="108">"= 108,35 * "&amp;TEXT(H$3,"#0/#0")&amp;" ="</f>
        <v>= 108,35 * 1/1 =</v>
      </c>
      <c r="I161" s="577" t="str">
        <f t="shared" si="108"/>
        <v>= 108,35 * 1/1 =</v>
      </c>
      <c r="J161" s="577" t="str">
        <f t="shared" si="108"/>
        <v>= 108,35 * 1/1 =</v>
      </c>
      <c r="K161" s="577" t="str">
        <f t="shared" si="108"/>
        <v>= 108,35 * 1/1 =</v>
      </c>
      <c r="L161" s="577" t="str">
        <f t="shared" si="108"/>
        <v>= 108,35 * 1/1 =</v>
      </c>
      <c r="M161" s="577" t="str">
        <f t="shared" si="108"/>
        <v>= 108,35 * 1/1 =</v>
      </c>
      <c r="N161" s="577" t="str">
        <f t="shared" si="108"/>
        <v>= 108,35 * 1/1 =</v>
      </c>
      <c r="O161" s="577" t="str">
        <f t="shared" si="108"/>
        <v>= 108,35 * 1/1 =</v>
      </c>
      <c r="P161" s="577" t="str">
        <f t="shared" si="108"/>
        <v>= 108,35 * 1/1 =</v>
      </c>
      <c r="Q161" s="577" t="str">
        <f t="shared" si="108"/>
        <v>= 108,35 * 1/1 =</v>
      </c>
      <c r="R161" s="577" t="str">
        <f t="shared" si="108"/>
        <v>= 108,35 * 1/1 =</v>
      </c>
      <c r="S161" s="578"/>
      <c r="T161" s="564"/>
      <c r="U161" s="127"/>
      <c r="V161" s="127"/>
      <c r="W161" s="127"/>
      <c r="X161" s="127"/>
      <c r="Y161" s="127"/>
    </row>
    <row r="162" spans="1:25" s="565" customFormat="1">
      <c r="A162" s="575"/>
      <c r="B162" s="576">
        <f t="shared" si="92"/>
        <v>18</v>
      </c>
      <c r="C162" s="576"/>
      <c r="D162" s="576">
        <f t="shared" si="90"/>
        <v>62</v>
      </c>
      <c r="E162" s="576"/>
      <c r="F162" s="581" t="s">
        <v>266</v>
      </c>
      <c r="G162" s="577" t="str">
        <f>"= "&amp;-(MAX(0,MIN(G$21,G$22*1))+G$25)&amp;" * 4,62% * SUM(lin. 1 - lin. 17) ="</f>
        <v>= 0 * 4,62% * SUM(lin. 1 - lin. 17) =</v>
      </c>
      <c r="H162" s="577" t="str">
        <f t="shared" ref="H162:R162" si="109">"= "&amp;-(MAX(0,MIN(H$21,H$22*1))+H$25)&amp;" * 4,62% * SUM(lin. 1 - lin. 17) ="</f>
        <v>= 0 * 4,62% * SUM(lin. 1 - lin. 17) =</v>
      </c>
      <c r="I162" s="577" t="str">
        <f t="shared" si="109"/>
        <v>= 0 * 4,62% * SUM(lin. 1 - lin. 17) =</v>
      </c>
      <c r="J162" s="577" t="str">
        <f t="shared" si="109"/>
        <v>= 0 * 4,62% * SUM(lin. 1 - lin. 17) =</v>
      </c>
      <c r="K162" s="577" t="str">
        <f t="shared" si="109"/>
        <v>= 0 * 4,62% * SUM(lin. 1 - lin. 17) =</v>
      </c>
      <c r="L162" s="577" t="str">
        <f t="shared" si="109"/>
        <v>= 0 * 4,62% * SUM(lin. 1 - lin. 17) =</v>
      </c>
      <c r="M162" s="577" t="str">
        <f t="shared" si="109"/>
        <v>= 0 * 4,62% * SUM(lin. 1 - lin. 17) =</v>
      </c>
      <c r="N162" s="577" t="str">
        <f t="shared" si="109"/>
        <v>= 0 * 4,62% * SUM(lin. 1 - lin. 17) =</v>
      </c>
      <c r="O162" s="577" t="str">
        <f t="shared" si="109"/>
        <v>= 0 * 4,62% * SUM(lin. 1 - lin. 17) =</v>
      </c>
      <c r="P162" s="577" t="str">
        <f t="shared" si="109"/>
        <v>= 0 * 4,62% * SUM(lin. 1 - lin. 17) =</v>
      </c>
      <c r="Q162" s="577" t="str">
        <f t="shared" si="109"/>
        <v>= 0 * 4,62% * SUM(lin. 1 - lin. 17) =</v>
      </c>
      <c r="R162" s="577" t="str">
        <f t="shared" si="109"/>
        <v>= 0 * 4,62% * SUM(lin. 1 - lin. 17) =</v>
      </c>
      <c r="S162" s="578"/>
      <c r="T162" s="564"/>
      <c r="U162" s="127"/>
      <c r="V162" s="127"/>
      <c r="W162" s="127"/>
      <c r="X162" s="127"/>
      <c r="Y162" s="127"/>
    </row>
    <row r="163" spans="1:25" s="565" customFormat="1">
      <c r="A163" s="575"/>
      <c r="B163" s="576">
        <f t="shared" si="92"/>
        <v>19</v>
      </c>
      <c r="C163" s="576"/>
      <c r="D163" s="576">
        <f t="shared" si="90"/>
        <v>63</v>
      </c>
      <c r="E163" s="576"/>
      <c r="F163" s="581" t="s">
        <v>205</v>
      </c>
      <c r="G163" s="577" t="str">
        <f t="shared" ref="G163:N163" si="110">"= ("&amp;TEXT(G$21,"0,00")&amp;" - "&amp;TEXT(G$22,"0,00")&amp;") * 4,62% * ("&amp;TEXT(G$23,"0,0000")&amp;" - "&amp;TEXT(G$8,"0,0000")&amp;") * "&amp;"(lin. 1, lin. 2"&amp;IF($D49&gt;0,", lin. 5","")&amp;IF($D50&gt;0,", lin. 6","")&amp;IF($D51&gt;0,", lin. 7","")&amp;IF($D52&gt;0,", lin. 8","")&amp;IF($D53&gt;0,", lin. 9","")&amp;IF($D54&gt;0,", lin. 10","")&amp;", lin. 11 - lin. 14"&amp;IF($D60&gt;0,", lin. 16","")&amp;") / "&amp;TEXT(G$8,"0,0000")&amp;" ="</f>
        <v>= (5,00 - 0,00) * 4,62% * (0,0000 - 0,0000) * (lin. 1, lin. 2, lin. 8, lin. 11 - lin. 14, lin. 16) / 0,0000 =</v>
      </c>
      <c r="H163" s="577" t="str">
        <f t="shared" si="110"/>
        <v>= (0,00 - 0,00) * 4,62% * (0,0000 - 0,0000) * (lin. 1, lin. 2, lin. 8, lin. 11 - lin. 14, lin. 16) / 0,0000 =</v>
      </c>
      <c r="I163" s="577" t="str">
        <f t="shared" si="110"/>
        <v>= (0,00 - 0,00) * 4,62% * (0,0000 - 0,0000) * (lin. 1, lin. 2, lin. 8, lin. 11 - lin. 14, lin. 16) / 0,0000 =</v>
      </c>
      <c r="J163" s="577" t="str">
        <f t="shared" si="110"/>
        <v>= (0,00 - 0,00) * 4,62% * (0,0000 - 0,0000) * (lin. 1, lin. 2, lin. 8, lin. 11 - lin. 14, lin. 16) / 0,0000 =</v>
      </c>
      <c r="K163" s="577" t="str">
        <f t="shared" si="110"/>
        <v>= (0,00 - 0,00) * 4,62% * (0,0000 - 0,0000) * (lin. 1, lin. 2, lin. 8, lin. 11 - lin. 14, lin. 16) / 0,0000 =</v>
      </c>
      <c r="L163" s="577" t="str">
        <f t="shared" si="110"/>
        <v>= (0,00 - 0,00) * 4,62% * (0,0000 - 0,0000) * (lin. 1, lin. 2, lin. 8, lin. 11 - lin. 14, lin. 16) / 0,0000 =</v>
      </c>
      <c r="M163" s="577" t="str">
        <f t="shared" si="110"/>
        <v>= (0,00 - 0,00) * 4,62% * (0,0000 - 0,0000) * (lin. 1, lin. 2, lin. 8, lin. 11 - lin. 14, lin. 16) / 0,0000 =</v>
      </c>
      <c r="N163" s="577" t="str">
        <f t="shared" si="110"/>
        <v>= (0,00 - 0,00) * 4,62% * (0,0000 - 0,0000) * (lin. 1, lin. 2, lin. 8, lin. 11 - lin. 14, lin. 16) / 0,0000 =</v>
      </c>
      <c r="O163" s="582" t="str">
        <f>"= ("&amp;TEXT(O$21,"0,00")&amp;" - "&amp;TEXT(O$22,"0,00")&amp;") * 4,62% * ("&amp;TEXT(O$24,"0,0000")&amp;" - "&amp;TEXT(O$8,"0,0000")&amp;") * "&amp;"(lin. 1, lin. 2"&amp;IF($D49&gt;0,", lin. 5","")&amp;IF($D50&gt;0,", lin. 6","")&amp;IF($D51&gt;0,", lin. 7","")&amp;IF($D52&gt;0,", lin. 8","")&amp;IF($D53&gt;0,", lin. 9","")&amp;IF($D54&gt;0,", lin. 10","")&amp;", lin. 11 - lin. 14"&amp;IF($D60&gt;0,", lin. 16","")&amp;") / "&amp;TEXT(O$8,"0,0000")&amp;" ="</f>
        <v>= (0,00 - 0,00) * 4,62% * (0,0000 - 0,0000) * (lin. 1, lin. 2, lin. 8, lin. 11 - lin. 14, lin. 16) / 0,0000 =</v>
      </c>
      <c r="P163" s="582" t="str">
        <f>"= ("&amp;TEXT(P$21,"0,00")&amp;" - "&amp;TEXT(P$22,"0,00")&amp;") * 4,62% * ("&amp;TEXT(P$24,"0,0000")&amp;" - "&amp;TEXT(P$8,"0,0000")&amp;") * "&amp;"(lin. 1, lin. 2"&amp;IF($D49&gt;0,", lin. 5","")&amp;IF($D50&gt;0,", lin. 6","")&amp;IF($D51&gt;0,", lin. 7","")&amp;IF($D52&gt;0,", lin. 8","")&amp;IF($D53&gt;0,", lin. 9","")&amp;IF($D54&gt;0,", lin. 10","")&amp;", lin. 11 - lin. 14"&amp;IF($D60&gt;0,", lin. 16","")&amp;") / "&amp;TEXT(P$8,"0,0000")&amp;" ="</f>
        <v>= (0,00 - 0,00) * 4,62% * (0,0000 - 0,0000) * (lin. 1, lin. 2, lin. 8, lin. 11 - lin. 14, lin. 16) / 0,0000 =</v>
      </c>
      <c r="Q163" s="582" t="str">
        <f>"= ("&amp;TEXT(Q$21,"0,00")&amp;" - "&amp;TEXT(Q$22,"0,00")&amp;") * 4,62% * ("&amp;TEXT(Q$24,"0,0000")&amp;" - "&amp;TEXT(Q$8,"0,0000")&amp;") * "&amp;"(lin. 1, lin. 2"&amp;IF($D49&gt;0,", lin. 5","")&amp;IF($D50&gt;0,", lin. 6","")&amp;IF($D51&gt;0,", lin. 7","")&amp;IF($D52&gt;0,", lin. 8","")&amp;IF($D53&gt;0,", lin. 9","")&amp;IF($D54&gt;0,", lin. 10","")&amp;", lin. 11 - lin. 14"&amp;IF($D60&gt;0,", lin. 16","")&amp;") / "&amp;TEXT(Q$8,"0,0000")&amp;" ="</f>
        <v>= (0,00 - 0,00) * 4,62% * (0,0000 - 0,0000) * (lin. 1, lin. 2, lin. 8, lin. 11 - lin. 14, lin. 16) / 0,0000 =</v>
      </c>
      <c r="R163" s="582" t="str">
        <f>"= ("&amp;TEXT(R$21,"0,00")&amp;" - "&amp;TEXT(R$22,"0,00")&amp;") * 4,62% * ("&amp;TEXT(R$24,"0,0000")&amp;" - "&amp;TEXT(R$8,"0,0000")&amp;") * "&amp;"(lin. 1, lin. 2"&amp;IF($D49&gt;0,", lin. 5","")&amp;IF($D50&gt;0,", lin. 6","")&amp;IF($D51&gt;0,", lin. 7","")&amp;IF($D52&gt;0,", lin. 8","")&amp;IF($D53&gt;0,", lin. 9","")&amp;IF($D54&gt;0,", lin. 10","")&amp;", lin. 11 - lin. 14"&amp;IF($D60&gt;0,", lin. 16","")&amp;") / "&amp;TEXT(R$8,"0,0000")&amp;" ="</f>
        <v>= (20,00 - 0,00) * 4,62% * (0,0000 - 0,0000) * (lin. 1, lin. 2, lin. 8, lin. 11 - lin. 14, lin. 16) / 0,0000 =</v>
      </c>
      <c r="S163" s="578"/>
      <c r="T163" s="564"/>
      <c r="U163" s="127"/>
      <c r="V163" s="127"/>
      <c r="W163" s="127"/>
      <c r="X163" s="127"/>
      <c r="Y163" s="127"/>
    </row>
    <row r="164" spans="1:25" s="565" customFormat="1">
      <c r="A164" s="575"/>
      <c r="B164" s="576">
        <f t="shared" si="92"/>
        <v>20</v>
      </c>
      <c r="C164" s="576"/>
      <c r="D164" s="576">
        <f t="shared" si="90"/>
        <v>64</v>
      </c>
      <c r="E164" s="576"/>
      <c r="F164" s="581" t="s">
        <v>464</v>
      </c>
      <c r="G164" s="577" t="str">
        <f t="shared" ref="G164:L164" si="111">"= "&amp;G28&amp;" km a "&amp;$D$28&amp;" ="</f>
        <v>=  km a 2,1 =</v>
      </c>
      <c r="H164" s="577" t="str">
        <f t="shared" si="111"/>
        <v>=  km a 2,1 =</v>
      </c>
      <c r="I164" s="577" t="str">
        <f t="shared" si="111"/>
        <v>=  km a 2,1 =</v>
      </c>
      <c r="J164" s="577" t="str">
        <f t="shared" si="111"/>
        <v>=  km a 2,1 =</v>
      </c>
      <c r="K164" s="577" t="str">
        <f t="shared" si="111"/>
        <v>=  km a 2,1 =</v>
      </c>
      <c r="L164" s="577" t="str">
        <f t="shared" si="111"/>
        <v>=  km a 2,1 =</v>
      </c>
      <c r="M164" s="582" t="str">
        <f t="shared" ref="M164:R164" si="112">"= "&amp;M28&amp;" km a "&amp;$E$28&amp;" ="</f>
        <v>=  km a  =</v>
      </c>
      <c r="N164" s="582" t="str">
        <f t="shared" si="112"/>
        <v>=  km a  =</v>
      </c>
      <c r="O164" s="582" t="str">
        <f t="shared" si="112"/>
        <v>=  km a  =</v>
      </c>
      <c r="P164" s="582" t="str">
        <f t="shared" si="112"/>
        <v>=  km a  =</v>
      </c>
      <c r="Q164" s="582" t="str">
        <f t="shared" si="112"/>
        <v>=  km a  =</v>
      </c>
      <c r="R164" s="582" t="str">
        <f t="shared" si="112"/>
        <v>=  km a  =</v>
      </c>
      <c r="S164" s="578"/>
      <c r="T164" s="564"/>
      <c r="U164" s="127"/>
      <c r="V164" s="127"/>
      <c r="W164" s="127"/>
      <c r="X164" s="127"/>
      <c r="Y164" s="127"/>
    </row>
    <row r="165" spans="1:25" s="565" customFormat="1">
      <c r="A165" s="575"/>
      <c r="B165" s="576">
        <f t="shared" si="92"/>
        <v>21</v>
      </c>
      <c r="C165" s="576"/>
      <c r="D165" s="576">
        <f t="shared" si="90"/>
        <v>65</v>
      </c>
      <c r="E165" s="576"/>
      <c r="F165" s="581" t="s">
        <v>465</v>
      </c>
      <c r="G165" s="577" t="str">
        <f t="shared" ref="G165:L165" si="113">"= "&amp;G29&amp;" km a "&amp;$D$29&amp;" ="</f>
        <v>=  km a 3,73 =</v>
      </c>
      <c r="H165" s="577" t="str">
        <f t="shared" si="113"/>
        <v>=  km a 3,73 =</v>
      </c>
      <c r="I165" s="577" t="str">
        <f t="shared" si="113"/>
        <v>=  km a 3,73 =</v>
      </c>
      <c r="J165" s="577" t="str">
        <f t="shared" si="113"/>
        <v>=  km a 3,73 =</v>
      </c>
      <c r="K165" s="577" t="str">
        <f t="shared" si="113"/>
        <v>=  km a 3,73 =</v>
      </c>
      <c r="L165" s="577" t="str">
        <f t="shared" si="113"/>
        <v>=  km a 3,73 =</v>
      </c>
      <c r="M165" s="582" t="str">
        <f t="shared" ref="M165:R165" si="114">"= "&amp;M29&amp;" km a "&amp;$E$29&amp;" ="</f>
        <v>=  km a  =</v>
      </c>
      <c r="N165" s="582" t="str">
        <f t="shared" si="114"/>
        <v>=  km a  =</v>
      </c>
      <c r="O165" s="582" t="str">
        <f t="shared" si="114"/>
        <v>=  km a  =</v>
      </c>
      <c r="P165" s="582" t="str">
        <f t="shared" si="114"/>
        <v>=  km a  =</v>
      </c>
      <c r="Q165" s="582" t="str">
        <f t="shared" si="114"/>
        <v>=  km a  =</v>
      </c>
      <c r="R165" s="582" t="str">
        <f t="shared" si="114"/>
        <v>=  km a  =</v>
      </c>
      <c r="S165" s="578"/>
      <c r="T165" s="564"/>
      <c r="U165" s="127"/>
      <c r="V165" s="127"/>
      <c r="W165" s="127"/>
      <c r="X165" s="127"/>
      <c r="Y165" s="127"/>
    </row>
    <row r="166" spans="1:25" s="565" customFormat="1">
      <c r="A166" s="575"/>
      <c r="B166" s="576">
        <f t="shared" si="92"/>
        <v>22</v>
      </c>
      <c r="C166" s="576"/>
      <c r="D166" s="576">
        <f t="shared" si="90"/>
        <v>66</v>
      </c>
      <c r="E166" s="576"/>
      <c r="F166" s="583" t="s">
        <v>466</v>
      </c>
      <c r="G166" s="577" t="str">
        <f>"(spørg administrationen vedr. beregning)"</f>
        <v>(spørg administrationen vedr. beregning)</v>
      </c>
      <c r="H166" s="577" t="str">
        <f t="shared" ref="H166:R166" si="115">"(spørg administrationen vedr. beregning)"</f>
        <v>(spørg administrationen vedr. beregning)</v>
      </c>
      <c r="I166" s="577" t="str">
        <f t="shared" si="115"/>
        <v>(spørg administrationen vedr. beregning)</v>
      </c>
      <c r="J166" s="577" t="str">
        <f t="shared" si="115"/>
        <v>(spørg administrationen vedr. beregning)</v>
      </c>
      <c r="K166" s="577" t="str">
        <f t="shared" si="115"/>
        <v>(spørg administrationen vedr. beregning)</v>
      </c>
      <c r="L166" s="577" t="str">
        <f t="shared" si="115"/>
        <v>(spørg administrationen vedr. beregning)</v>
      </c>
      <c r="M166" s="577" t="str">
        <f t="shared" si="115"/>
        <v>(spørg administrationen vedr. beregning)</v>
      </c>
      <c r="N166" s="577" t="str">
        <f t="shared" si="115"/>
        <v>(spørg administrationen vedr. beregning)</v>
      </c>
      <c r="O166" s="577" t="str">
        <f t="shared" si="115"/>
        <v>(spørg administrationen vedr. beregning)</v>
      </c>
      <c r="P166" s="577" t="str">
        <f t="shared" si="115"/>
        <v>(spørg administrationen vedr. beregning)</v>
      </c>
      <c r="Q166" s="577" t="str">
        <f t="shared" si="115"/>
        <v>(spørg administrationen vedr. beregning)</v>
      </c>
      <c r="R166" s="577" t="str">
        <f t="shared" si="115"/>
        <v>(spørg administrationen vedr. beregning)</v>
      </c>
      <c r="S166" s="578"/>
      <c r="T166" s="564"/>
      <c r="U166" s="127"/>
      <c r="V166" s="127"/>
      <c r="W166" s="127"/>
      <c r="X166" s="127"/>
      <c r="Y166" s="127"/>
    </row>
    <row r="167" spans="1:25" s="565" customFormat="1">
      <c r="A167" s="575"/>
      <c r="B167" s="576">
        <f t="shared" si="92"/>
        <v>23</v>
      </c>
      <c r="C167" s="576"/>
      <c r="D167" s="576">
        <f t="shared" si="90"/>
        <v>67</v>
      </c>
      <c r="E167" s="576"/>
      <c r="F167" s="583" t="s">
        <v>467</v>
      </c>
      <c r="G167" s="577" t="str">
        <f>"(højst 8.000 kr. er skattefri, resten i lin. 28)"</f>
        <v>(højst 8.000 kr. er skattefri, resten i lin. 28)</v>
      </c>
      <c r="H167" s="577" t="str">
        <f t="shared" ref="H167:R167" si="116">"(højst 8.000 kr. er skattefri, resten i lin. 28)"</f>
        <v>(højst 8.000 kr. er skattefri, resten i lin. 28)</v>
      </c>
      <c r="I167" s="577" t="str">
        <f t="shared" si="116"/>
        <v>(højst 8.000 kr. er skattefri, resten i lin. 28)</v>
      </c>
      <c r="J167" s="577" t="str">
        <f t="shared" si="116"/>
        <v>(højst 8.000 kr. er skattefri, resten i lin. 28)</v>
      </c>
      <c r="K167" s="577" t="str">
        <f t="shared" si="116"/>
        <v>(højst 8.000 kr. er skattefri, resten i lin. 28)</v>
      </c>
      <c r="L167" s="577" t="str">
        <f t="shared" si="116"/>
        <v>(højst 8.000 kr. er skattefri, resten i lin. 28)</v>
      </c>
      <c r="M167" s="577" t="str">
        <f t="shared" si="116"/>
        <v>(højst 8.000 kr. er skattefri, resten i lin. 28)</v>
      </c>
      <c r="N167" s="577" t="str">
        <f t="shared" si="116"/>
        <v>(højst 8.000 kr. er skattefri, resten i lin. 28)</v>
      </c>
      <c r="O167" s="577" t="str">
        <f t="shared" si="116"/>
        <v>(højst 8.000 kr. er skattefri, resten i lin. 28)</v>
      </c>
      <c r="P167" s="577" t="str">
        <f t="shared" si="116"/>
        <v>(højst 8.000 kr. er skattefri, resten i lin. 28)</v>
      </c>
      <c r="Q167" s="577" t="str">
        <f t="shared" si="116"/>
        <v>(højst 8.000 kr. er skattefri, resten i lin. 28)</v>
      </c>
      <c r="R167" s="577" t="str">
        <f t="shared" si="116"/>
        <v>(højst 8.000 kr. er skattefri, resten i lin. 28)</v>
      </c>
      <c r="S167" s="578"/>
      <c r="T167" s="564"/>
      <c r="U167" s="127"/>
      <c r="V167" s="127"/>
      <c r="W167" s="127"/>
      <c r="X167" s="127"/>
      <c r="Y167" s="127"/>
    </row>
    <row r="168" spans="1:25" s="565" customFormat="1">
      <c r="A168" s="575"/>
      <c r="B168" s="576">
        <f t="shared" si="92"/>
        <v>24</v>
      </c>
      <c r="C168" s="576"/>
      <c r="D168" s="576">
        <f t="shared" si="90"/>
        <v>68</v>
      </c>
      <c r="E168" s="576"/>
      <c r="F168" s="583" t="s">
        <v>470</v>
      </c>
      <c r="G168" s="577" t="str">
        <f t="shared" ref="G168:R168" si="117">"= "&amp;G32&amp;" t. a "&amp;ROUND(19*G$6,2)&amp;" ="</f>
        <v>=  t. a 19,33 =</v>
      </c>
      <c r="H168" s="577" t="str">
        <f t="shared" si="117"/>
        <v>=  t. a 19,33 =</v>
      </c>
      <c r="I168" s="577" t="str">
        <f t="shared" si="117"/>
        <v>=  t. a 19,33 =</v>
      </c>
      <c r="J168" s="577" t="str">
        <f t="shared" si="117"/>
        <v>=  t. a 19,33 =</v>
      </c>
      <c r="K168" s="577" t="str">
        <f t="shared" si="117"/>
        <v>=  t. a 19,33 =</v>
      </c>
      <c r="L168" s="577" t="str">
        <f t="shared" si="117"/>
        <v>=  t. a 19,33 =</v>
      </c>
      <c r="M168" s="577" t="str">
        <f t="shared" si="117"/>
        <v>=  t. a 19,33 =</v>
      </c>
      <c r="N168" s="577" t="str">
        <f t="shared" si="117"/>
        <v>=  t. a 19,33 =</v>
      </c>
      <c r="O168" s="577" t="str">
        <f t="shared" si="117"/>
        <v>=  t. a 19,72 =</v>
      </c>
      <c r="P168" s="577" t="str">
        <f t="shared" si="117"/>
        <v>=  t. a 19,72 =</v>
      </c>
      <c r="Q168" s="577" t="str">
        <f t="shared" si="117"/>
        <v>=  t. a 19,72 =</v>
      </c>
      <c r="R168" s="577" t="str">
        <f t="shared" si="117"/>
        <v>=  t. a 19,72 =</v>
      </c>
      <c r="S168" s="578"/>
      <c r="T168" s="564"/>
      <c r="U168" s="127"/>
      <c r="V168" s="127"/>
      <c r="W168" s="127"/>
      <c r="X168" s="127"/>
      <c r="Y168" s="127"/>
    </row>
    <row r="169" spans="1:25" s="565" customFormat="1">
      <c r="A169" s="575"/>
      <c r="B169" s="576">
        <f t="shared" si="92"/>
        <v>25</v>
      </c>
      <c r="C169" s="576"/>
      <c r="D169" s="576">
        <f t="shared" si="90"/>
        <v>69</v>
      </c>
      <c r="E169" s="576"/>
      <c r="F169" s="583" t="s">
        <v>468</v>
      </c>
      <c r="G169" s="577" t="e">
        <f t="shared" ref="G169:R169" si="118">"= "&amp;G33&amp;" t. a "&amp;TEXT(G$140,"#,00")&amp;" * 25% ="</f>
        <v>#DIV/0!</v>
      </c>
      <c r="H169" s="577" t="e">
        <f t="shared" si="118"/>
        <v>#DIV/0!</v>
      </c>
      <c r="I169" s="577" t="e">
        <f t="shared" si="118"/>
        <v>#DIV/0!</v>
      </c>
      <c r="J169" s="577" t="e">
        <f t="shared" si="118"/>
        <v>#DIV/0!</v>
      </c>
      <c r="K169" s="577" t="e">
        <f t="shared" si="118"/>
        <v>#DIV/0!</v>
      </c>
      <c r="L169" s="577" t="e">
        <f t="shared" si="118"/>
        <v>#DIV/0!</v>
      </c>
      <c r="M169" s="577" t="e">
        <f t="shared" si="118"/>
        <v>#DIV/0!</v>
      </c>
      <c r="N169" s="577" t="e">
        <f t="shared" si="118"/>
        <v>#DIV/0!</v>
      </c>
      <c r="O169" s="577" t="e">
        <f t="shared" si="118"/>
        <v>#DIV/0!</v>
      </c>
      <c r="P169" s="577" t="e">
        <f t="shared" si="118"/>
        <v>#DIV/0!</v>
      </c>
      <c r="Q169" s="577" t="e">
        <f t="shared" si="118"/>
        <v>#DIV/0!</v>
      </c>
      <c r="R169" s="577" t="e">
        <f t="shared" si="118"/>
        <v>#DIV/0!</v>
      </c>
      <c r="S169" s="578"/>
      <c r="T169" s="564"/>
      <c r="U169" s="127"/>
      <c r="V169" s="127"/>
      <c r="W169" s="127"/>
      <c r="X169" s="127"/>
      <c r="Y169" s="127"/>
    </row>
    <row r="170" spans="1:25" s="565" customFormat="1">
      <c r="A170" s="575"/>
      <c r="B170" s="576">
        <f t="shared" si="92"/>
        <v>26</v>
      </c>
      <c r="C170" s="576"/>
      <c r="D170" s="576">
        <f t="shared" si="90"/>
        <v>70</v>
      </c>
      <c r="E170" s="576"/>
      <c r="F170" s="583" t="s">
        <v>469</v>
      </c>
      <c r="G170" s="577" t="e">
        <f t="shared" ref="G170:R170" si="119">"= "&amp;G34&amp;" t. a "&amp;TEXT(G$140,"#,00")&amp;" *50% ="</f>
        <v>#DIV/0!</v>
      </c>
      <c r="H170" s="577" t="e">
        <f t="shared" si="119"/>
        <v>#DIV/0!</v>
      </c>
      <c r="I170" s="577" t="e">
        <f t="shared" si="119"/>
        <v>#DIV/0!</v>
      </c>
      <c r="J170" s="577" t="e">
        <f t="shared" si="119"/>
        <v>#DIV/0!</v>
      </c>
      <c r="K170" s="577" t="e">
        <f t="shared" si="119"/>
        <v>#DIV/0!</v>
      </c>
      <c r="L170" s="577" t="e">
        <f t="shared" si="119"/>
        <v>#DIV/0!</v>
      </c>
      <c r="M170" s="577" t="e">
        <f t="shared" si="119"/>
        <v>#DIV/0!</v>
      </c>
      <c r="N170" s="577" t="e">
        <f t="shared" si="119"/>
        <v>#DIV/0!</v>
      </c>
      <c r="O170" s="577" t="e">
        <f t="shared" si="119"/>
        <v>#DIV/0!</v>
      </c>
      <c r="P170" s="577" t="e">
        <f t="shared" si="119"/>
        <v>#DIV/0!</v>
      </c>
      <c r="Q170" s="577" t="e">
        <f t="shared" si="119"/>
        <v>#DIV/0!</v>
      </c>
      <c r="R170" s="577" t="e">
        <f t="shared" si="119"/>
        <v>#DIV/0!</v>
      </c>
      <c r="S170" s="578"/>
      <c r="T170" s="564"/>
      <c r="U170" s="127"/>
      <c r="V170" s="127"/>
      <c r="W170" s="127"/>
      <c r="X170" s="127"/>
      <c r="Y170" s="127"/>
    </row>
    <row r="171" spans="1:25" s="565" customFormat="1">
      <c r="A171" s="575"/>
      <c r="B171" s="576">
        <f t="shared" si="92"/>
        <v>27</v>
      </c>
      <c r="C171" s="576"/>
      <c r="D171" s="576">
        <f t="shared" ref="D171:D172" si="120">B72</f>
        <v>72</v>
      </c>
      <c r="E171" s="576"/>
      <c r="F171" s="583" t="s">
        <v>547</v>
      </c>
      <c r="G171" s="577" t="e">
        <f t="shared" ref="G171:R171" si="121">"= "&amp;G35&amp;" t. a "&amp;TEXT(G$140,"#,00")&amp;" ="</f>
        <v>#DIV/0!</v>
      </c>
      <c r="H171" s="577" t="e">
        <f t="shared" si="121"/>
        <v>#DIV/0!</v>
      </c>
      <c r="I171" s="577" t="e">
        <f t="shared" si="121"/>
        <v>#DIV/0!</v>
      </c>
      <c r="J171" s="577" t="e">
        <f t="shared" si="121"/>
        <v>#DIV/0!</v>
      </c>
      <c r="K171" s="577" t="e">
        <f t="shared" si="121"/>
        <v>#DIV/0!</v>
      </c>
      <c r="L171" s="577" t="e">
        <f t="shared" si="121"/>
        <v>#DIV/0!</v>
      </c>
      <c r="M171" s="577" t="e">
        <f t="shared" si="121"/>
        <v>#DIV/0!</v>
      </c>
      <c r="N171" s="577" t="e">
        <f t="shared" si="121"/>
        <v>#DIV/0!</v>
      </c>
      <c r="O171" s="577" t="e">
        <f t="shared" si="121"/>
        <v>#DIV/0!</v>
      </c>
      <c r="P171" s="577" t="e">
        <f t="shared" si="121"/>
        <v>#DIV/0!</v>
      </c>
      <c r="Q171" s="577" t="e">
        <f t="shared" si="121"/>
        <v>#DIV/0!</v>
      </c>
      <c r="R171" s="577" t="e">
        <f t="shared" si="121"/>
        <v>#DIV/0!</v>
      </c>
      <c r="S171" s="578"/>
      <c r="T171" s="564"/>
      <c r="U171" s="127"/>
      <c r="V171" s="127"/>
      <c r="W171" s="127"/>
      <c r="X171" s="127"/>
      <c r="Y171" s="127"/>
    </row>
    <row r="172" spans="1:25" s="565" customFormat="1">
      <c r="A172" s="575"/>
      <c r="B172" s="576">
        <f t="shared" si="92"/>
        <v>28</v>
      </c>
      <c r="C172" s="576"/>
      <c r="D172" s="576">
        <f t="shared" si="120"/>
        <v>73</v>
      </c>
      <c r="E172" s="576"/>
      <c r="F172" s="584" t="s">
        <v>463</v>
      </c>
      <c r="G172" s="577" t="str">
        <f t="shared" ref="G172:O172" si="122">"= "&amp;IF(G31&gt;0,"Jub.gr.-rest + ","")&amp;IF(G36&gt;0,"merarbejde + ","")&amp;IF(G37&gt;0,"feriefridage + ","")&amp;IF(G39&gt;0,$F39&amp;" + ","")&amp;IF(G40&gt;0,$F40&amp;" + ","")&amp;IF(G41&gt;0,$F41&amp;" + ","")&amp;IF(G42&gt;0,$F42&amp;" + ","")&amp;IF(G43&gt;0,$F43,"")&amp;" ="</f>
        <v>=  =</v>
      </c>
      <c r="H172" s="577" t="str">
        <f t="shared" si="122"/>
        <v>=  =</v>
      </c>
      <c r="I172" s="577" t="str">
        <f t="shared" si="122"/>
        <v>=  =</v>
      </c>
      <c r="J172" s="577" t="str">
        <f t="shared" si="122"/>
        <v>=  =</v>
      </c>
      <c r="K172" s="577" t="str">
        <f t="shared" si="122"/>
        <v>=  =</v>
      </c>
      <c r="L172" s="577" t="str">
        <f t="shared" si="122"/>
        <v>=  =</v>
      </c>
      <c r="M172" s="577" t="str">
        <f t="shared" si="122"/>
        <v>=  =</v>
      </c>
      <c r="N172" s="577" t="str">
        <f t="shared" si="122"/>
        <v>=  =</v>
      </c>
      <c r="O172" s="577" t="str">
        <f t="shared" si="122"/>
        <v>=  =</v>
      </c>
      <c r="P172" s="582" t="str">
        <f>"= "&amp;IF(P31&gt;0,"Jub.gr.-rest + ","")&amp;IF(P36&gt;0,"merarbejde + ","")&amp;IF(P37&gt;0,"feriefridage + ","")&amp;IF(P38&gt;0,"ferietillæg + ","")&amp;IF(P39&gt;0,$F39&amp;" + ","")&amp;IF(P40&gt;0,$F40&amp;" + ","")&amp;IF(P41&gt;0,$F41&amp;" + ","")&amp;IF(P42&gt;0,$F42&amp;" + ","")&amp;IF(P43&gt;0,$F43,"")&amp;" ="</f>
        <v>=  =</v>
      </c>
      <c r="Q172" s="582" t="str">
        <f>"= "&amp;IF(Q31&gt;0,"Jub.gr.-rest + ","")&amp;IF(Q36&gt;0,"merarbejde + ","")&amp;IF(Q37&gt;0,"feriefridage + ","")&amp;IF(Q38&gt;0,"ferietillæg + ","")&amp;IF(Q39&gt;0,$F39&amp;" + ","")&amp;IF(Q40&gt;0,$F40&amp;" + ","")&amp;IF(Q41&gt;0,$F41&amp;" + ","")&amp;IF(Q42&gt;0,$F42&amp;" + ","")&amp;IF(Q43&gt;0,$F43,"")&amp;" ="</f>
        <v>=  =</v>
      </c>
      <c r="R172" s="582" t="str">
        <f>"= "&amp;IF(R31&gt;0,"Jub.gr.-rest + ","")&amp;IF(R36&gt;0,"merarbejde + ","")&amp;IF(R37&gt;0,"feriefridage + ","")&amp;IF(R38&gt;0,"ferietillæg + ","")&amp;IF(R39&gt;0,$F39&amp;" + ","")&amp;IF(R40&gt;0,$F40&amp;" + ","")&amp;IF(R41&gt;0,$F41&amp;" + ","")&amp;IF(R42&gt;0,$F42&amp;" + ","")&amp;IF(R43&gt;0,$F43,"")&amp;" ="</f>
        <v>=  =</v>
      </c>
      <c r="S172" s="578"/>
      <c r="T172" s="564"/>
      <c r="U172" s="127"/>
      <c r="V172" s="127"/>
      <c r="W172" s="127"/>
      <c r="X172" s="127"/>
      <c r="Y172" s="127"/>
    </row>
    <row r="173" spans="1:25" s="565" customFormat="1">
      <c r="A173" s="575"/>
      <c r="B173" s="576">
        <f t="shared" si="92"/>
        <v>29</v>
      </c>
      <c r="C173" s="576"/>
      <c r="D173" s="576">
        <f t="shared" ref="D173:D205" si="123">B73</f>
        <v>73</v>
      </c>
      <c r="E173" s="576"/>
      <c r="F173" s="585" t="s">
        <v>114</v>
      </c>
      <c r="G173" s="577"/>
      <c r="H173" s="577"/>
      <c r="I173" s="577"/>
      <c r="J173" s="577"/>
      <c r="K173" s="577"/>
      <c r="L173" s="577"/>
      <c r="M173" s="577"/>
      <c r="N173" s="577"/>
      <c r="O173" s="577"/>
      <c r="P173" s="577"/>
      <c r="Q173" s="577"/>
      <c r="R173" s="577"/>
      <c r="S173" s="578"/>
      <c r="T173" s="564"/>
      <c r="U173" s="127"/>
      <c r="V173" s="127"/>
      <c r="W173" s="127"/>
      <c r="X173" s="127"/>
      <c r="Y173" s="127"/>
    </row>
    <row r="174" spans="1:25" s="565" customFormat="1">
      <c r="A174" s="575"/>
      <c r="B174" s="576">
        <f t="shared" si="92"/>
        <v>30</v>
      </c>
      <c r="C174" s="576"/>
      <c r="D174" s="576">
        <f t="shared" si="123"/>
        <v>74</v>
      </c>
      <c r="E174" s="576"/>
      <c r="F174" s="580" t="s">
        <v>111</v>
      </c>
      <c r="G174" s="577" t="str">
        <f t="shared" ref="G174:R174" si="124">"= "&amp;TEXT(G45,"#.###,00")&amp;" * 17,3% / 3  ="</f>
        <v>= ,00 * 17,3% / 3  =</v>
      </c>
      <c r="H174" s="577" t="str">
        <f t="shared" si="124"/>
        <v>= ,00 * 17,3% / 3  =</v>
      </c>
      <c r="I174" s="577" t="str">
        <f t="shared" si="124"/>
        <v>= ,00 * 17,3% / 3  =</v>
      </c>
      <c r="J174" s="577" t="str">
        <f t="shared" si="124"/>
        <v>= ,00 * 17,3% / 3  =</v>
      </c>
      <c r="K174" s="577" t="str">
        <f t="shared" si="124"/>
        <v>= ,00 * 17,3% / 3  =</v>
      </c>
      <c r="L174" s="577" t="str">
        <f t="shared" si="124"/>
        <v>= ,00 * 17,3% / 3  =</v>
      </c>
      <c r="M174" s="577" t="str">
        <f t="shared" si="124"/>
        <v>= ,00 * 17,3% / 3  =</v>
      </c>
      <c r="N174" s="577" t="str">
        <f t="shared" si="124"/>
        <v>= ,00 * 17,3% / 3  =</v>
      </c>
      <c r="O174" s="577" t="str">
        <f t="shared" si="124"/>
        <v>= ,00 * 17,3% / 3  =</v>
      </c>
      <c r="P174" s="577" t="str">
        <f t="shared" si="124"/>
        <v>= ,00 * 17,3% / 3  =</v>
      </c>
      <c r="Q174" s="577" t="str">
        <f t="shared" si="124"/>
        <v>= ,00 * 17,3% / 3  =</v>
      </c>
      <c r="R174" s="577" t="str">
        <f t="shared" si="124"/>
        <v>= ,00 * 17,3% / 3  =</v>
      </c>
      <c r="S174" s="578"/>
      <c r="T174" s="578"/>
      <c r="U174" s="127"/>
      <c r="V174" s="127"/>
      <c r="W174" s="127"/>
      <c r="X174" s="127"/>
      <c r="Y174" s="127"/>
    </row>
    <row r="175" spans="1:25" s="565" customFormat="1">
      <c r="A175" s="575"/>
      <c r="B175" s="576">
        <f t="shared" si="92"/>
        <v>31</v>
      </c>
      <c r="C175" s="576"/>
      <c r="D175" s="576">
        <f t="shared" si="123"/>
        <v>75</v>
      </c>
      <c r="E175" s="576"/>
      <c r="F175" s="581" t="s">
        <v>196</v>
      </c>
      <c r="G175" s="577" t="str">
        <f t="shared" ref="G175:R175" si="125">"= "&amp;TEXT(G47,"#.###,00")&amp;" * 17,3% / 3  ="</f>
        <v>= ,00 * 17,3% / 3  =</v>
      </c>
      <c r="H175" s="577" t="str">
        <f t="shared" si="125"/>
        <v>= ,00 * 17,3% / 3  =</v>
      </c>
      <c r="I175" s="577" t="str">
        <f t="shared" si="125"/>
        <v>= ,00 * 17,3% / 3  =</v>
      </c>
      <c r="J175" s="577" t="str">
        <f t="shared" si="125"/>
        <v>= ,00 * 17,3% / 3  =</v>
      </c>
      <c r="K175" s="577" t="str">
        <f t="shared" si="125"/>
        <v>= ,00 * 17,3% / 3  =</v>
      </c>
      <c r="L175" s="577" t="str">
        <f t="shared" si="125"/>
        <v>= ,00 * 17,3% / 3  =</v>
      </c>
      <c r="M175" s="577" t="str">
        <f t="shared" si="125"/>
        <v>= ,00 * 17,3% / 3  =</v>
      </c>
      <c r="N175" s="577" t="str">
        <f t="shared" si="125"/>
        <v>= ,00 * 17,3% / 3  =</v>
      </c>
      <c r="O175" s="577" t="str">
        <f t="shared" si="125"/>
        <v>= ,00 * 17,3% / 3  =</v>
      </c>
      <c r="P175" s="577" t="str">
        <f t="shared" si="125"/>
        <v>= ,00 * 17,3% / 3  =</v>
      </c>
      <c r="Q175" s="577" t="str">
        <f t="shared" si="125"/>
        <v>= ,00 * 17,3% / 3  =</v>
      </c>
      <c r="R175" s="577" t="str">
        <f t="shared" si="125"/>
        <v>= ,00 * 17,3% / 3  =</v>
      </c>
      <c r="S175" s="578"/>
      <c r="T175" s="564"/>
      <c r="U175" s="127"/>
      <c r="V175" s="127"/>
      <c r="W175" s="127"/>
      <c r="X175" s="127"/>
      <c r="Y175" s="127"/>
    </row>
    <row r="176" spans="1:25" s="565" customFormat="1">
      <c r="A176" s="575"/>
      <c r="B176" s="576">
        <f t="shared" si="92"/>
        <v>32</v>
      </c>
      <c r="C176" s="576"/>
      <c r="D176" s="576">
        <f t="shared" si="123"/>
        <v>76</v>
      </c>
      <c r="E176" s="576"/>
      <c r="F176" s="581" t="s">
        <v>112</v>
      </c>
      <c r="G176" s="577" t="str">
        <f t="shared" ref="G176:R176" si="126">"= "&amp;TEXT(G48,"#.###,00")&amp;" * 17,3% / 3  ="</f>
        <v>= ,00 * 17,3% / 3  =</v>
      </c>
      <c r="H176" s="577" t="str">
        <f t="shared" si="126"/>
        <v>= ,00 * 17,3% / 3  =</v>
      </c>
      <c r="I176" s="577" t="str">
        <f t="shared" si="126"/>
        <v>= ,00 * 17,3% / 3  =</v>
      </c>
      <c r="J176" s="577" t="str">
        <f t="shared" si="126"/>
        <v>= ,00 * 17,3% / 3  =</v>
      </c>
      <c r="K176" s="577" t="str">
        <f t="shared" si="126"/>
        <v>= ,00 * 17,3% / 3  =</v>
      </c>
      <c r="L176" s="577" t="str">
        <f t="shared" si="126"/>
        <v>= ,00 * 17,3% / 3  =</v>
      </c>
      <c r="M176" s="577" t="str">
        <f t="shared" si="126"/>
        <v>= ,00 * 17,3% / 3  =</v>
      </c>
      <c r="N176" s="577" t="str">
        <f t="shared" si="126"/>
        <v>= ,00 * 17,3% / 3  =</v>
      </c>
      <c r="O176" s="577" t="str">
        <f t="shared" si="126"/>
        <v>= ,00 * 17,3% / 3  =</v>
      </c>
      <c r="P176" s="577" t="str">
        <f t="shared" si="126"/>
        <v>= ,00 * 17,3% / 3  =</v>
      </c>
      <c r="Q176" s="577" t="str">
        <f t="shared" si="126"/>
        <v>= ,00 * 17,3% / 3  =</v>
      </c>
      <c r="R176" s="577" t="str">
        <f t="shared" si="126"/>
        <v>= ,00 * 17,3% / 3  =</v>
      </c>
      <c r="S176" s="578"/>
      <c r="T176" s="578"/>
      <c r="U176" s="127"/>
      <c r="V176" s="127"/>
      <c r="W176" s="127"/>
      <c r="X176" s="127"/>
      <c r="Y176" s="127"/>
    </row>
    <row r="177" spans="1:25" s="565" customFormat="1">
      <c r="A177" s="575"/>
      <c r="B177" s="576">
        <f t="shared" si="92"/>
        <v>33</v>
      </c>
      <c r="C177" s="576"/>
      <c r="D177" s="576">
        <f t="shared" si="123"/>
        <v>77</v>
      </c>
      <c r="E177" s="576"/>
      <c r="F177" s="581" t="s">
        <v>203</v>
      </c>
      <c r="G177" s="577" t="str">
        <f t="shared" ref="G177:R177" si="127">"= "&amp;TEXT(G49,"#.###,00")&amp;" * 17,3% / 3  ="</f>
        <v>= ,00 * 17,3% / 3  =</v>
      </c>
      <c r="H177" s="577" t="str">
        <f t="shared" si="127"/>
        <v>= ,00 * 17,3% / 3  =</v>
      </c>
      <c r="I177" s="577" t="str">
        <f t="shared" si="127"/>
        <v>= ,00 * 17,3% / 3  =</v>
      </c>
      <c r="J177" s="577" t="str">
        <f t="shared" si="127"/>
        <v>= ,00 * 17,3% / 3  =</v>
      </c>
      <c r="K177" s="577" t="str">
        <f t="shared" si="127"/>
        <v>= ,00 * 17,3% / 3  =</v>
      </c>
      <c r="L177" s="577" t="str">
        <f t="shared" si="127"/>
        <v>= ,00 * 17,3% / 3  =</v>
      </c>
      <c r="M177" s="577" t="str">
        <f t="shared" si="127"/>
        <v>= ,00 * 17,3% / 3  =</v>
      </c>
      <c r="N177" s="577" t="str">
        <f t="shared" si="127"/>
        <v>= ,00 * 17,3% / 3  =</v>
      </c>
      <c r="O177" s="577" t="str">
        <f t="shared" si="127"/>
        <v>= ,00 * 17,3% / 3  =</v>
      </c>
      <c r="P177" s="577" t="str">
        <f t="shared" si="127"/>
        <v>= ,00 * 17,3% / 3  =</v>
      </c>
      <c r="Q177" s="577" t="str">
        <f t="shared" si="127"/>
        <v>= ,00 * 17,3% / 3  =</v>
      </c>
      <c r="R177" s="577" t="str">
        <f t="shared" si="127"/>
        <v>= ,00 * 17,3% / 3  =</v>
      </c>
      <c r="S177" s="578"/>
      <c r="T177" s="564"/>
      <c r="U177" s="127"/>
      <c r="V177" s="127"/>
      <c r="W177" s="127"/>
      <c r="X177" s="127"/>
      <c r="Y177" s="127"/>
    </row>
    <row r="178" spans="1:25" s="565" customFormat="1">
      <c r="A178" s="575"/>
      <c r="B178" s="576">
        <f t="shared" si="92"/>
        <v>34</v>
      </c>
      <c r="C178" s="576"/>
      <c r="D178" s="576">
        <f t="shared" si="123"/>
        <v>78</v>
      </c>
      <c r="E178" s="576"/>
      <c r="F178" s="581" t="s">
        <v>204</v>
      </c>
      <c r="G178" s="577" t="str">
        <f t="shared" ref="G178:R178" si="128">"= "&amp;TEXT(G50,"#.###,00")&amp;" * 17,3% / 3  ="</f>
        <v>= ,00 * 17,3% / 3  =</v>
      </c>
      <c r="H178" s="577" t="str">
        <f t="shared" si="128"/>
        <v>= ,00 * 17,3% / 3  =</v>
      </c>
      <c r="I178" s="577" t="str">
        <f t="shared" si="128"/>
        <v>= ,00 * 17,3% / 3  =</v>
      </c>
      <c r="J178" s="577" t="str">
        <f t="shared" si="128"/>
        <v>= ,00 * 17,3% / 3  =</v>
      </c>
      <c r="K178" s="577" t="str">
        <f t="shared" si="128"/>
        <v>= ,00 * 17,3% / 3  =</v>
      </c>
      <c r="L178" s="577" t="str">
        <f t="shared" si="128"/>
        <v>= ,00 * 17,3% / 3  =</v>
      </c>
      <c r="M178" s="577" t="str">
        <f t="shared" si="128"/>
        <v>= ,00 * 17,3% / 3  =</v>
      </c>
      <c r="N178" s="577" t="str">
        <f t="shared" si="128"/>
        <v>= ,00 * 17,3% / 3  =</v>
      </c>
      <c r="O178" s="577" t="str">
        <f t="shared" si="128"/>
        <v>= ,00 * 17,3% / 3  =</v>
      </c>
      <c r="P178" s="577" t="str">
        <f t="shared" si="128"/>
        <v>= ,00 * 17,3% / 3  =</v>
      </c>
      <c r="Q178" s="577" t="str">
        <f t="shared" si="128"/>
        <v>= ,00 * 17,3% / 3  =</v>
      </c>
      <c r="R178" s="577" t="str">
        <f t="shared" si="128"/>
        <v>= ,00 * 17,3% / 3  =</v>
      </c>
      <c r="S178" s="578"/>
      <c r="T178" s="564"/>
      <c r="U178" s="127"/>
      <c r="V178" s="127"/>
      <c r="W178" s="127"/>
      <c r="X178" s="127"/>
      <c r="Y178" s="127"/>
    </row>
    <row r="179" spans="1:25" s="565" customFormat="1">
      <c r="A179" s="575"/>
      <c r="B179" s="576">
        <f t="shared" si="92"/>
        <v>35</v>
      </c>
      <c r="C179" s="576"/>
      <c r="D179" s="576">
        <f t="shared" si="123"/>
        <v>79</v>
      </c>
      <c r="E179" s="576"/>
      <c r="F179" s="581" t="s">
        <v>64</v>
      </c>
      <c r="G179" s="577" t="str">
        <f t="shared" ref="G179:R179" si="129">"= "&amp;TEXT(G51,"#.###,00")&amp;" * 17,3% / 3  ="</f>
        <v>= ,00 * 17,3% / 3  =</v>
      </c>
      <c r="H179" s="577" t="str">
        <f t="shared" si="129"/>
        <v>= ,00 * 17,3% / 3  =</v>
      </c>
      <c r="I179" s="577" t="str">
        <f t="shared" si="129"/>
        <v>= ,00 * 17,3% / 3  =</v>
      </c>
      <c r="J179" s="577" t="str">
        <f t="shared" si="129"/>
        <v>= ,00 * 17,3% / 3  =</v>
      </c>
      <c r="K179" s="577" t="str">
        <f t="shared" si="129"/>
        <v>= ,00 * 17,3% / 3  =</v>
      </c>
      <c r="L179" s="577" t="str">
        <f t="shared" si="129"/>
        <v>= ,00 * 17,3% / 3  =</v>
      </c>
      <c r="M179" s="577" t="str">
        <f t="shared" si="129"/>
        <v>= ,00 * 17,3% / 3  =</v>
      </c>
      <c r="N179" s="577" t="str">
        <f t="shared" si="129"/>
        <v>= ,00 * 17,3% / 3  =</v>
      </c>
      <c r="O179" s="577" t="str">
        <f t="shared" si="129"/>
        <v>= ,00 * 17,3% / 3  =</v>
      </c>
      <c r="P179" s="577" t="str">
        <f t="shared" si="129"/>
        <v>= ,00 * 17,3% / 3  =</v>
      </c>
      <c r="Q179" s="577" t="str">
        <f t="shared" si="129"/>
        <v>= ,00 * 17,3% / 3  =</v>
      </c>
      <c r="R179" s="577" t="str">
        <f t="shared" si="129"/>
        <v>= ,00 * 17,3% / 3  =</v>
      </c>
      <c r="S179" s="578"/>
      <c r="T179" s="564"/>
      <c r="U179" s="127"/>
      <c r="V179" s="127"/>
      <c r="W179" s="127"/>
      <c r="X179" s="127"/>
      <c r="Y179" s="127"/>
    </row>
    <row r="180" spans="1:25" s="565" customFormat="1">
      <c r="A180" s="575"/>
      <c r="B180" s="576">
        <f t="shared" si="92"/>
        <v>36</v>
      </c>
      <c r="C180" s="576"/>
      <c r="D180" s="576">
        <f t="shared" si="123"/>
        <v>80</v>
      </c>
      <c r="E180" s="576"/>
      <c r="F180" s="581" t="s">
        <v>65</v>
      </c>
      <c r="G180" s="577" t="str">
        <f t="shared" ref="G180:R180" si="130">"= "&amp;TEXT(G52,"#.###,00")&amp;" * 17,3% / 3  ="</f>
        <v>= ,00 * 17,3% / 3  =</v>
      </c>
      <c r="H180" s="577" t="str">
        <f t="shared" si="130"/>
        <v>= ,00 * 17,3% / 3  =</v>
      </c>
      <c r="I180" s="577" t="str">
        <f t="shared" si="130"/>
        <v>= ,00 * 17,3% / 3  =</v>
      </c>
      <c r="J180" s="577" t="str">
        <f t="shared" si="130"/>
        <v>= ,00 * 17,3% / 3  =</v>
      </c>
      <c r="K180" s="577" t="str">
        <f t="shared" si="130"/>
        <v>= ,00 * 17,3% / 3  =</v>
      </c>
      <c r="L180" s="577" t="str">
        <f t="shared" si="130"/>
        <v>= ,00 * 17,3% / 3  =</v>
      </c>
      <c r="M180" s="577" t="str">
        <f t="shared" si="130"/>
        <v>= ,00 * 17,3% / 3  =</v>
      </c>
      <c r="N180" s="577" t="str">
        <f t="shared" si="130"/>
        <v>= ,00 * 17,3% / 3  =</v>
      </c>
      <c r="O180" s="577" t="str">
        <f t="shared" si="130"/>
        <v>= ,00 * 17,3% / 3  =</v>
      </c>
      <c r="P180" s="577" t="str">
        <f t="shared" si="130"/>
        <v>= ,00 * 17,3% / 3  =</v>
      </c>
      <c r="Q180" s="577" t="str">
        <f t="shared" si="130"/>
        <v>= ,00 * 17,3% / 3  =</v>
      </c>
      <c r="R180" s="577" t="str">
        <f t="shared" si="130"/>
        <v>= ,00 * 17,3% / 3  =</v>
      </c>
      <c r="S180" s="578"/>
      <c r="T180" s="564"/>
      <c r="U180" s="127"/>
      <c r="V180" s="127"/>
      <c r="W180" s="127"/>
      <c r="X180" s="127"/>
      <c r="Y180" s="127"/>
    </row>
    <row r="181" spans="1:25" s="565" customFormat="1">
      <c r="A181" s="575"/>
      <c r="B181" s="576">
        <f t="shared" si="92"/>
        <v>37</v>
      </c>
      <c r="C181" s="576"/>
      <c r="D181" s="576">
        <f t="shared" si="123"/>
        <v>81</v>
      </c>
      <c r="E181" s="576"/>
      <c r="F181" s="581" t="s">
        <v>66</v>
      </c>
      <c r="G181" s="577" t="str">
        <f t="shared" ref="G181:R181" si="131">"= "&amp;TEXT(G53,"#.###,00")&amp;" * 17,3% / 3  ="</f>
        <v>= ,00 * 17,3% / 3  =</v>
      </c>
      <c r="H181" s="577" t="str">
        <f t="shared" si="131"/>
        <v>= ,00 * 17,3% / 3  =</v>
      </c>
      <c r="I181" s="577" t="str">
        <f t="shared" si="131"/>
        <v>= ,00 * 17,3% / 3  =</v>
      </c>
      <c r="J181" s="577" t="str">
        <f t="shared" si="131"/>
        <v>= ,00 * 17,3% / 3  =</v>
      </c>
      <c r="K181" s="577" t="str">
        <f t="shared" si="131"/>
        <v>= ,00 * 17,3% / 3  =</v>
      </c>
      <c r="L181" s="577" t="str">
        <f t="shared" si="131"/>
        <v>= ,00 * 17,3% / 3  =</v>
      </c>
      <c r="M181" s="577" t="str">
        <f t="shared" si="131"/>
        <v>= ,00 * 17,3% / 3  =</v>
      </c>
      <c r="N181" s="577" t="str">
        <f t="shared" si="131"/>
        <v>= ,00 * 17,3% / 3  =</v>
      </c>
      <c r="O181" s="577" t="str">
        <f t="shared" si="131"/>
        <v>= ,00 * 17,3% / 3  =</v>
      </c>
      <c r="P181" s="577" t="str">
        <f t="shared" si="131"/>
        <v>= ,00 * 17,3% / 3  =</v>
      </c>
      <c r="Q181" s="577" t="str">
        <f t="shared" si="131"/>
        <v>= ,00 * 17,3% / 3  =</v>
      </c>
      <c r="R181" s="577" t="str">
        <f t="shared" si="131"/>
        <v>= ,00 * 17,3% / 3  =</v>
      </c>
      <c r="S181" s="578"/>
      <c r="T181" s="564"/>
      <c r="U181" s="127"/>
      <c r="V181" s="127"/>
      <c r="W181" s="127"/>
      <c r="X181" s="127"/>
      <c r="Y181" s="127"/>
    </row>
    <row r="182" spans="1:25" s="565" customFormat="1">
      <c r="A182" s="575"/>
      <c r="B182" s="576">
        <f t="shared" si="92"/>
        <v>38</v>
      </c>
      <c r="C182" s="576"/>
      <c r="D182" s="576">
        <f t="shared" si="123"/>
        <v>82</v>
      </c>
      <c r="E182" s="576"/>
      <c r="F182" s="581" t="s">
        <v>67</v>
      </c>
      <c r="G182" s="577" t="str">
        <f t="shared" ref="G182:R182" si="132">"= "&amp;TEXT(G54,"#.###,00")&amp;" * 17,3% / 3  ="</f>
        <v>= ,00 * 17,3% / 3  =</v>
      </c>
      <c r="H182" s="577" t="str">
        <f t="shared" si="132"/>
        <v>= ,00 * 17,3% / 3  =</v>
      </c>
      <c r="I182" s="577" t="str">
        <f t="shared" si="132"/>
        <v>= ,00 * 17,3% / 3  =</v>
      </c>
      <c r="J182" s="577" t="str">
        <f t="shared" si="132"/>
        <v>= ,00 * 17,3% / 3  =</v>
      </c>
      <c r="K182" s="577" t="str">
        <f t="shared" si="132"/>
        <v>= ,00 * 17,3% / 3  =</v>
      </c>
      <c r="L182" s="577" t="str">
        <f t="shared" si="132"/>
        <v>= ,00 * 17,3% / 3  =</v>
      </c>
      <c r="M182" s="577" t="str">
        <f t="shared" si="132"/>
        <v>= ,00 * 17,3% / 3  =</v>
      </c>
      <c r="N182" s="577" t="str">
        <f t="shared" si="132"/>
        <v>= ,00 * 17,3% / 3  =</v>
      </c>
      <c r="O182" s="577" t="str">
        <f t="shared" si="132"/>
        <v>= ,00 * 17,3% / 3  =</v>
      </c>
      <c r="P182" s="577" t="str">
        <f t="shared" si="132"/>
        <v>= ,00 * 17,3% / 3  =</v>
      </c>
      <c r="Q182" s="577" t="str">
        <f t="shared" si="132"/>
        <v>= ,00 * 17,3% / 3  =</v>
      </c>
      <c r="R182" s="577" t="str">
        <f t="shared" si="132"/>
        <v>= ,00 * 17,3% / 3  =</v>
      </c>
      <c r="S182" s="578"/>
      <c r="T182" s="564"/>
      <c r="U182" s="127"/>
      <c r="V182" s="127"/>
      <c r="W182" s="127"/>
      <c r="X182" s="127"/>
      <c r="Y182" s="127"/>
    </row>
    <row r="183" spans="1:25" s="565" customFormat="1">
      <c r="A183" s="575"/>
      <c r="B183" s="576">
        <f t="shared" si="92"/>
        <v>39</v>
      </c>
      <c r="C183" s="576"/>
      <c r="D183" s="576">
        <f t="shared" si="123"/>
        <v>83</v>
      </c>
      <c r="E183" s="576"/>
      <c r="F183" s="581" t="s">
        <v>368</v>
      </c>
      <c r="G183" s="577" t="str">
        <f t="shared" ref="G183:R183" si="133">"= "&amp;TEXT(G55,"#.###,00")&amp;" * 17,3% /3  ="</f>
        <v>= ,00 * 17,3% /3  =</v>
      </c>
      <c r="H183" s="577" t="str">
        <f t="shared" si="133"/>
        <v>= ,00 * 17,3% /3  =</v>
      </c>
      <c r="I183" s="577" t="str">
        <f t="shared" si="133"/>
        <v>= ,00 * 17,3% /3  =</v>
      </c>
      <c r="J183" s="577" t="str">
        <f t="shared" si="133"/>
        <v>= ,00 * 17,3% /3  =</v>
      </c>
      <c r="K183" s="577" t="str">
        <f t="shared" si="133"/>
        <v>= ,00 * 17,3% /3  =</v>
      </c>
      <c r="L183" s="577" t="str">
        <f t="shared" si="133"/>
        <v>= ,00 * 17,3% /3  =</v>
      </c>
      <c r="M183" s="577" t="str">
        <f t="shared" si="133"/>
        <v>= ,00 * 17,3% /3  =</v>
      </c>
      <c r="N183" s="577" t="str">
        <f t="shared" si="133"/>
        <v>= ,00 * 17,3% /3  =</v>
      </c>
      <c r="O183" s="577" t="str">
        <f t="shared" si="133"/>
        <v>= ,00 * 17,3% /3  =</v>
      </c>
      <c r="P183" s="577" t="str">
        <f t="shared" si="133"/>
        <v>= ,00 * 17,3% /3  =</v>
      </c>
      <c r="Q183" s="577" t="str">
        <f t="shared" si="133"/>
        <v>= ,00 * 17,3% /3  =</v>
      </c>
      <c r="R183" s="577" t="str">
        <f t="shared" si="133"/>
        <v>= ,00 * 17,3% /3  =</v>
      </c>
      <c r="S183" s="578"/>
      <c r="T183" s="564"/>
      <c r="U183" s="127"/>
      <c r="V183" s="127"/>
      <c r="W183" s="127"/>
      <c r="X183" s="127"/>
      <c r="Y183" s="127"/>
    </row>
    <row r="184" spans="1:25" s="565" customFormat="1">
      <c r="A184" s="575"/>
      <c r="B184" s="576">
        <f t="shared" si="92"/>
        <v>40</v>
      </c>
      <c r="C184" s="576"/>
      <c r="D184" s="576">
        <f t="shared" si="123"/>
        <v>84</v>
      </c>
      <c r="E184" s="576"/>
      <c r="F184" s="581" t="s">
        <v>20</v>
      </c>
      <c r="G184" s="577" t="str">
        <f t="shared" ref="G184:R184" si="134">"= "&amp;TEXT(G56,"#.###,00")&amp;" * 17,3% / 3  ="</f>
        <v>= ,00 * 17,3% / 3  =</v>
      </c>
      <c r="H184" s="577" t="str">
        <f t="shared" si="134"/>
        <v>= ,00 * 17,3% / 3  =</v>
      </c>
      <c r="I184" s="577" t="str">
        <f t="shared" si="134"/>
        <v>= ,00 * 17,3% / 3  =</v>
      </c>
      <c r="J184" s="577" t="str">
        <f t="shared" si="134"/>
        <v>= ,00 * 17,3% / 3  =</v>
      </c>
      <c r="K184" s="577" t="str">
        <f t="shared" si="134"/>
        <v>= ,00 * 17,3% / 3  =</v>
      </c>
      <c r="L184" s="577" t="str">
        <f t="shared" si="134"/>
        <v>= ,00 * 17,3% / 3  =</v>
      </c>
      <c r="M184" s="577" t="str">
        <f t="shared" si="134"/>
        <v>= ,00 * 17,3% / 3  =</v>
      </c>
      <c r="N184" s="577" t="str">
        <f t="shared" si="134"/>
        <v>= ,00 * 17,3% / 3  =</v>
      </c>
      <c r="O184" s="577" t="str">
        <f t="shared" si="134"/>
        <v>= ,00 * 17,3% / 3  =</v>
      </c>
      <c r="P184" s="577" t="str">
        <f t="shared" si="134"/>
        <v>= ,00 * 17,3% / 3  =</v>
      </c>
      <c r="Q184" s="577" t="str">
        <f t="shared" si="134"/>
        <v>= ,00 * 17,3% / 3  =</v>
      </c>
      <c r="R184" s="577" t="str">
        <f t="shared" si="134"/>
        <v>= ,00 * 17,3% / 3  =</v>
      </c>
      <c r="S184" s="578"/>
      <c r="T184" s="564"/>
      <c r="U184" s="127"/>
      <c r="V184" s="127"/>
      <c r="W184" s="127"/>
      <c r="X184" s="127"/>
      <c r="Y184" s="127"/>
    </row>
    <row r="185" spans="1:25" s="565" customFormat="1">
      <c r="A185" s="575"/>
      <c r="B185" s="576">
        <f t="shared" si="92"/>
        <v>41</v>
      </c>
      <c r="C185" s="576"/>
      <c r="D185" s="576">
        <f t="shared" si="123"/>
        <v>85</v>
      </c>
      <c r="E185" s="576"/>
      <c r="F185" s="581" t="s">
        <v>377</v>
      </c>
      <c r="G185" s="577" t="str">
        <f t="shared" ref="G185:R185" si="135">"= "&amp;TEXT(G58,"#.###,00")&amp;" * 17,3% / 3  ="</f>
        <v>= ,00 * 17,3% / 3  =</v>
      </c>
      <c r="H185" s="577" t="str">
        <f t="shared" si="135"/>
        <v>= ,00 * 17,3% / 3  =</v>
      </c>
      <c r="I185" s="577" t="str">
        <f t="shared" si="135"/>
        <v>= ,00 * 17,3% / 3  =</v>
      </c>
      <c r="J185" s="577" t="str">
        <f t="shared" si="135"/>
        <v>= ,00 * 17,3% / 3  =</v>
      </c>
      <c r="K185" s="577" t="str">
        <f t="shared" si="135"/>
        <v>= ,00 * 17,3% / 3  =</v>
      </c>
      <c r="L185" s="577" t="str">
        <f t="shared" si="135"/>
        <v>= ,00 * 17,3% / 3  =</v>
      </c>
      <c r="M185" s="577" t="str">
        <f t="shared" si="135"/>
        <v>= ,00 * 17,3% / 3  =</v>
      </c>
      <c r="N185" s="577" t="str">
        <f t="shared" si="135"/>
        <v>= ,00 * 17,3% / 3  =</v>
      </c>
      <c r="O185" s="577" t="str">
        <f t="shared" si="135"/>
        <v>= ,00 * 17,3% / 3  =</v>
      </c>
      <c r="P185" s="577" t="str">
        <f t="shared" si="135"/>
        <v>= ,00 * 17,3% / 3  =</v>
      </c>
      <c r="Q185" s="577" t="str">
        <f t="shared" si="135"/>
        <v>= ,00 * 17,3% / 3  =</v>
      </c>
      <c r="R185" s="577" t="str">
        <f t="shared" si="135"/>
        <v>= ,00 * 17,3% / 3  =</v>
      </c>
      <c r="S185" s="578"/>
      <c r="T185" s="564"/>
      <c r="U185" s="127"/>
      <c r="V185" s="127"/>
      <c r="W185" s="127"/>
      <c r="X185" s="127"/>
      <c r="Y185" s="127"/>
    </row>
    <row r="186" spans="1:25" s="565" customFormat="1">
      <c r="A186" s="575"/>
      <c r="B186" s="576">
        <f t="shared" si="92"/>
        <v>42</v>
      </c>
      <c r="C186" s="576"/>
      <c r="D186" s="576">
        <f t="shared" si="123"/>
        <v>86</v>
      </c>
      <c r="E186" s="576"/>
      <c r="F186" s="581" t="s">
        <v>119</v>
      </c>
      <c r="G186" s="582" t="str">
        <f t="shared" ref="G186:R186" si="136">"= (("&amp;TEXT(SUM(G45:G56)-G46+G58,"#.###,00")&amp;" - "&amp;TEXT(ROUND(ROUND(VLOOKUP(IF(LEFT(G4)="B",33,42),Skalalontabel12,7,0)*G6,0)/12,2)*G8,"#.###,00")&amp;" * "&amp;TEXT(G8,"0,0000")&amp;" * "&amp;TEXT(G3,"#0/#0")&amp;")"&amp;" * "&amp;IF(G19="JA","(18 - 17,3)","18")&amp;"% / 3 "&amp;IF(G19="NEJ","- "&amp;G76+G85,"")&amp;"="</f>
        <v>= ((,00 - ,00 * 0,0000 * 1/1) * 18% / 3 - 0=</v>
      </c>
      <c r="H186" s="582" t="str">
        <f t="shared" si="136"/>
        <v>= ((,00 - ,00 * 0,0000 * 1/1) * 18% / 3 - 0=</v>
      </c>
      <c r="I186" s="582" t="str">
        <f t="shared" si="136"/>
        <v>= ((,00 - ,00 * 0,0000 * 1/1) * 18% / 3 - 0=</v>
      </c>
      <c r="J186" s="582" t="str">
        <f t="shared" si="136"/>
        <v>= ((,00 - ,00 * 0,0000 * 1/1) * 18% / 3 - 0=</v>
      </c>
      <c r="K186" s="582" t="str">
        <f t="shared" si="136"/>
        <v>= ((,00 - ,00 * 0,0000 * 1/1) * 18% / 3 - 0=</v>
      </c>
      <c r="L186" s="582" t="str">
        <f t="shared" si="136"/>
        <v>= ((,00 - ,00 * 0,0000 * 1/1) * 18% / 3 - 0=</v>
      </c>
      <c r="M186" s="582" t="str">
        <f t="shared" si="136"/>
        <v>= ((,00 - ,00 * 0,0000 * 1/1) * 18% / 3 - 0=</v>
      </c>
      <c r="N186" s="582" t="str">
        <f t="shared" si="136"/>
        <v>= ((,00 - ,00 * 0,0000 * 1/1) * 18% / 3 - 0=</v>
      </c>
      <c r="O186" s="582" t="str">
        <f t="shared" si="136"/>
        <v>= ((,00 - ,00 * 0,0000 * 1/1) * 18% / 3 - 0=</v>
      </c>
      <c r="P186" s="582" t="str">
        <f t="shared" si="136"/>
        <v>= ((,00 - ,00 * 0,0000 * 1/1) * 18% / 3 - 0=</v>
      </c>
      <c r="Q186" s="582" t="str">
        <f t="shared" si="136"/>
        <v>= ((,00 - ,00 * 0,0000 * 1/1) * 18% / 3 - 0=</v>
      </c>
      <c r="R186" s="582" t="str">
        <f t="shared" si="136"/>
        <v>= ((,00 - ,00 * 0,0000 * 1/1) * 18% / 3 - 0=</v>
      </c>
      <c r="S186" s="578"/>
      <c r="T186" s="564"/>
      <c r="U186" s="127"/>
      <c r="V186" s="127"/>
      <c r="W186" s="127"/>
      <c r="X186" s="127"/>
      <c r="Y186" s="127"/>
    </row>
    <row r="187" spans="1:25" s="565" customFormat="1">
      <c r="A187" s="575"/>
      <c r="B187" s="576">
        <f t="shared" si="92"/>
        <v>43</v>
      </c>
      <c r="C187" s="576"/>
      <c r="D187" s="576">
        <f t="shared" si="123"/>
        <v>87</v>
      </c>
      <c r="E187" s="576"/>
      <c r="F187" s="581" t="s">
        <v>263</v>
      </c>
      <c r="G187" s="577" t="str">
        <f t="shared" ref="G187:R187" si="137">"= "&amp;TEXT(G62,"#.###,00")&amp;" * 17,3% / 3  ="</f>
        <v>= ,00 * 17,3% / 3  =</v>
      </c>
      <c r="H187" s="577" t="str">
        <f t="shared" si="137"/>
        <v>= ,00 * 17,3% / 3  =</v>
      </c>
      <c r="I187" s="577" t="str">
        <f t="shared" si="137"/>
        <v>= ,00 * 17,3% / 3  =</v>
      </c>
      <c r="J187" s="577" t="str">
        <f t="shared" si="137"/>
        <v>= ,00 * 17,3% / 3  =</v>
      </c>
      <c r="K187" s="577" t="str">
        <f t="shared" si="137"/>
        <v>= ,00 * 17,3% / 3  =</v>
      </c>
      <c r="L187" s="577" t="str">
        <f t="shared" si="137"/>
        <v>= ,00 * 17,3% / 3  =</v>
      </c>
      <c r="M187" s="577" t="str">
        <f t="shared" si="137"/>
        <v>= ,00 * 17,3% / 3  =</v>
      </c>
      <c r="N187" s="577" t="str">
        <f t="shared" si="137"/>
        <v>= ,00 * 17,3% / 3  =</v>
      </c>
      <c r="O187" s="577" t="str">
        <f t="shared" si="137"/>
        <v>= ,00 * 17,3% / 3  =</v>
      </c>
      <c r="P187" s="577" t="str">
        <f t="shared" si="137"/>
        <v>= ,00 * 17,3% / 3  =</v>
      </c>
      <c r="Q187" s="577" t="str">
        <f t="shared" si="137"/>
        <v>= ,00 * 17,3% / 3  =</v>
      </c>
      <c r="R187" s="577" t="str">
        <f t="shared" si="137"/>
        <v>= ,00 * 17,3% / 3  =</v>
      </c>
      <c r="S187" s="578"/>
      <c r="T187" s="564"/>
      <c r="U187" s="127"/>
      <c r="V187" s="127"/>
      <c r="W187" s="127"/>
      <c r="X187" s="127"/>
      <c r="Y187" s="127"/>
    </row>
    <row r="188" spans="1:25" s="565" customFormat="1">
      <c r="A188" s="575"/>
      <c r="B188" s="576">
        <f t="shared" si="92"/>
        <v>44</v>
      </c>
      <c r="C188" s="576"/>
      <c r="D188" s="576">
        <f t="shared" si="123"/>
        <v>88</v>
      </c>
      <c r="E188" s="576"/>
      <c r="F188" s="583" t="s">
        <v>43</v>
      </c>
      <c r="G188" s="577" t="str">
        <f t="shared" ref="G188:R188" si="138">"= "&amp;TEXT(G63,"#.###,00")&amp;" * 17,3% / 3  ="</f>
        <v>= ,00 * 17,3% / 3  =</v>
      </c>
      <c r="H188" s="577" t="str">
        <f t="shared" si="138"/>
        <v>= ,00 * 17,3% / 3  =</v>
      </c>
      <c r="I188" s="577" t="str">
        <f t="shared" si="138"/>
        <v>= ,00 * 17,3% / 3  =</v>
      </c>
      <c r="J188" s="577" t="str">
        <f t="shared" si="138"/>
        <v>= ,00 * 17,3% / 3  =</v>
      </c>
      <c r="K188" s="577" t="str">
        <f t="shared" si="138"/>
        <v>= ,00 * 17,3% / 3  =</v>
      </c>
      <c r="L188" s="577" t="str">
        <f t="shared" si="138"/>
        <v>= ,00 * 17,3% / 3  =</v>
      </c>
      <c r="M188" s="577" t="str">
        <f t="shared" si="138"/>
        <v>= ,00 * 17,3% / 3  =</v>
      </c>
      <c r="N188" s="577" t="str">
        <f t="shared" si="138"/>
        <v>= ,00 * 17,3% / 3  =</v>
      </c>
      <c r="O188" s="577" t="str">
        <f t="shared" si="138"/>
        <v>= ,00 * 17,3% / 3  =</v>
      </c>
      <c r="P188" s="577" t="str">
        <f t="shared" si="138"/>
        <v>= ,00 * 17,3% / 3  =</v>
      </c>
      <c r="Q188" s="577" t="str">
        <f t="shared" si="138"/>
        <v>= ,00 * 17,3% / 3  =</v>
      </c>
      <c r="R188" s="577" t="str">
        <f t="shared" si="138"/>
        <v>= ,00 * 17,3% / 3  =</v>
      </c>
      <c r="S188" s="578"/>
      <c r="T188" s="564"/>
      <c r="U188" s="127"/>
      <c r="V188" s="127"/>
      <c r="W188" s="127"/>
      <c r="X188" s="127"/>
      <c r="Y188" s="127"/>
    </row>
    <row r="189" spans="1:25" s="565" customFormat="1" ht="13" thickBot="1">
      <c r="A189" s="575"/>
      <c r="B189" s="576">
        <f t="shared" si="92"/>
        <v>45</v>
      </c>
      <c r="C189" s="576"/>
      <c r="D189" s="576">
        <f t="shared" si="123"/>
        <v>89</v>
      </c>
      <c r="E189" s="576"/>
      <c r="F189" s="586" t="s">
        <v>194</v>
      </c>
      <c r="G189" s="577"/>
      <c r="H189" s="577"/>
      <c r="I189" s="577"/>
      <c r="J189" s="577"/>
      <c r="K189" s="577"/>
      <c r="L189" s="577"/>
      <c r="M189" s="577"/>
      <c r="N189" s="577"/>
      <c r="O189" s="577"/>
      <c r="P189" s="577"/>
      <c r="Q189" s="577"/>
      <c r="R189" s="577"/>
      <c r="S189" s="578"/>
      <c r="T189" s="564"/>
      <c r="U189" s="127"/>
      <c r="V189" s="127"/>
      <c r="W189" s="127"/>
      <c r="X189" s="127"/>
      <c r="Y189" s="127"/>
    </row>
    <row r="190" spans="1:25" s="565" customFormat="1" ht="13" thickTop="1">
      <c r="A190" s="575"/>
      <c r="B190" s="576">
        <f t="shared" si="92"/>
        <v>46</v>
      </c>
      <c r="C190" s="576"/>
      <c r="D190" s="576">
        <f t="shared" si="123"/>
        <v>90</v>
      </c>
      <c r="E190" s="576"/>
      <c r="F190" s="587" t="s">
        <v>105</v>
      </c>
      <c r="G190" s="577" t="str">
        <f>"1/3 af den samlede indbetaling (lin. 58) iflg. A-satser"</f>
        <v>1/3 af den samlede indbetaling (lin. 58) iflg. A-satser</v>
      </c>
      <c r="H190" s="577" t="str">
        <f t="shared" ref="H190:R190" si="139">"1/3 af den samlede indbetaling (lin. 58) iflg. A-satser"</f>
        <v>1/3 af den samlede indbetaling (lin. 58) iflg. A-satser</v>
      </c>
      <c r="I190" s="577" t="str">
        <f t="shared" si="139"/>
        <v>1/3 af den samlede indbetaling (lin. 58) iflg. A-satser</v>
      </c>
      <c r="J190" s="577" t="str">
        <f t="shared" si="139"/>
        <v>1/3 af den samlede indbetaling (lin. 58) iflg. A-satser</v>
      </c>
      <c r="K190" s="577" t="str">
        <f t="shared" si="139"/>
        <v>1/3 af den samlede indbetaling (lin. 58) iflg. A-satser</v>
      </c>
      <c r="L190" s="577" t="str">
        <f t="shared" si="139"/>
        <v>1/3 af den samlede indbetaling (lin. 58) iflg. A-satser</v>
      </c>
      <c r="M190" s="577" t="str">
        <f t="shared" si="139"/>
        <v>1/3 af den samlede indbetaling (lin. 58) iflg. A-satser</v>
      </c>
      <c r="N190" s="577" t="str">
        <f t="shared" si="139"/>
        <v>1/3 af den samlede indbetaling (lin. 58) iflg. A-satser</v>
      </c>
      <c r="O190" s="577" t="str">
        <f t="shared" si="139"/>
        <v>1/3 af den samlede indbetaling (lin. 58) iflg. A-satser</v>
      </c>
      <c r="P190" s="577" t="str">
        <f t="shared" si="139"/>
        <v>1/3 af den samlede indbetaling (lin. 58) iflg. A-satser</v>
      </c>
      <c r="Q190" s="577" t="str">
        <f t="shared" si="139"/>
        <v>1/3 af den samlede indbetaling (lin. 58) iflg. A-satser</v>
      </c>
      <c r="R190" s="577" t="str">
        <f t="shared" si="139"/>
        <v>1/3 af den samlede indbetaling (lin. 58) iflg. A-satser</v>
      </c>
      <c r="S190" s="578"/>
      <c r="T190" s="564"/>
      <c r="U190" s="127"/>
      <c r="V190" s="127"/>
      <c r="W190" s="127"/>
      <c r="X190" s="127"/>
      <c r="Y190" s="127"/>
    </row>
    <row r="191" spans="1:25" s="565" customFormat="1">
      <c r="A191" s="575"/>
      <c r="B191" s="576">
        <f t="shared" si="92"/>
        <v>47</v>
      </c>
      <c r="C191" s="576"/>
      <c r="D191" s="576">
        <f t="shared" si="123"/>
        <v>91</v>
      </c>
      <c r="E191" s="576"/>
      <c r="F191" s="587" t="s">
        <v>100</v>
      </c>
      <c r="G191" s="577" t="str">
        <f>"= SUM(lin. 1 - 19) + sum(lin. 24 - 28) - lin. 46 ="</f>
        <v>= SUM(lin. 1 - 19) + sum(lin. 24 - 28) - lin. 46 =</v>
      </c>
      <c r="H191" s="577" t="str">
        <f t="shared" ref="H191:R191" si="140">"= SUM(lin. 1 - 19) + sum(lin. 24 - 28) - lin. 46 ="</f>
        <v>= SUM(lin. 1 - 19) + sum(lin. 24 - 28) - lin. 46 =</v>
      </c>
      <c r="I191" s="577" t="str">
        <f t="shared" si="140"/>
        <v>= SUM(lin. 1 - 19) + sum(lin. 24 - 28) - lin. 46 =</v>
      </c>
      <c r="J191" s="577" t="str">
        <f t="shared" si="140"/>
        <v>= SUM(lin. 1 - 19) + sum(lin. 24 - 28) - lin. 46 =</v>
      </c>
      <c r="K191" s="577" t="str">
        <f t="shared" si="140"/>
        <v>= SUM(lin. 1 - 19) + sum(lin. 24 - 28) - lin. 46 =</v>
      </c>
      <c r="L191" s="577" t="str">
        <f t="shared" si="140"/>
        <v>= SUM(lin. 1 - 19) + sum(lin. 24 - 28) - lin. 46 =</v>
      </c>
      <c r="M191" s="577" t="str">
        <f t="shared" si="140"/>
        <v>= SUM(lin. 1 - 19) + sum(lin. 24 - 28) - lin. 46 =</v>
      </c>
      <c r="N191" s="577" t="str">
        <f t="shared" si="140"/>
        <v>= SUM(lin. 1 - 19) + sum(lin. 24 - 28) - lin. 46 =</v>
      </c>
      <c r="O191" s="577" t="str">
        <f t="shared" si="140"/>
        <v>= SUM(lin. 1 - 19) + sum(lin. 24 - 28) - lin. 46 =</v>
      </c>
      <c r="P191" s="577" t="str">
        <f t="shared" si="140"/>
        <v>= SUM(lin. 1 - 19) + sum(lin. 24 - 28) - lin. 46 =</v>
      </c>
      <c r="Q191" s="577" t="str">
        <f t="shared" si="140"/>
        <v>= SUM(lin. 1 - 19) + sum(lin. 24 - 28) - lin. 46 =</v>
      </c>
      <c r="R191" s="577" t="str">
        <f t="shared" si="140"/>
        <v>= SUM(lin. 1 - 19) + sum(lin. 24 - 28) - lin. 46 =</v>
      </c>
      <c r="S191" s="578"/>
      <c r="T191" s="564"/>
      <c r="U191" s="127"/>
      <c r="V191" s="127"/>
      <c r="W191" s="127"/>
      <c r="X191" s="127"/>
      <c r="Y191" s="127"/>
    </row>
    <row r="192" spans="1:25" s="565" customFormat="1">
      <c r="A192" s="575"/>
      <c r="B192" s="576">
        <f t="shared" si="92"/>
        <v>48</v>
      </c>
      <c r="C192" s="576"/>
      <c r="D192" s="576">
        <f t="shared" si="123"/>
        <v>92</v>
      </c>
      <c r="E192" s="576"/>
      <c r="F192" s="588" t="s">
        <v>101</v>
      </c>
      <c r="G192" s="577" t="str">
        <f>"= "&amp;TEXT(G92,"#.###,00")&amp;" * 8% (afrundet) ="</f>
        <v>= ,00 * 8% (afrundet) =</v>
      </c>
      <c r="H192" s="577" t="str">
        <f t="shared" ref="H192:R192" si="141">"= "&amp;TEXT(H92,"#.###,00")&amp;" * 8% (afrundet) ="</f>
        <v>= ,00 * 8% (afrundet) =</v>
      </c>
      <c r="I192" s="577" t="str">
        <f t="shared" si="141"/>
        <v>= ,00 * 8% (afrundet) =</v>
      </c>
      <c r="J192" s="577" t="str">
        <f t="shared" si="141"/>
        <v>= ,00 * 8% (afrundet) =</v>
      </c>
      <c r="K192" s="577" t="str">
        <f t="shared" si="141"/>
        <v>= ,00 * 8% (afrundet) =</v>
      </c>
      <c r="L192" s="577" t="str">
        <f t="shared" si="141"/>
        <v>= ,00 * 8% (afrundet) =</v>
      </c>
      <c r="M192" s="577" t="str">
        <f t="shared" si="141"/>
        <v>= ,00 * 8% (afrundet) =</v>
      </c>
      <c r="N192" s="577" t="str">
        <f t="shared" si="141"/>
        <v>= ,00 * 8% (afrundet) =</v>
      </c>
      <c r="O192" s="577" t="str">
        <f t="shared" si="141"/>
        <v>= ,00 * 8% (afrundet) =</v>
      </c>
      <c r="P192" s="577" t="str">
        <f t="shared" si="141"/>
        <v>= ,00 * 8% (afrundet) =</v>
      </c>
      <c r="Q192" s="577" t="str">
        <f t="shared" si="141"/>
        <v>= ,00 * 8% (afrundet) =</v>
      </c>
      <c r="R192" s="577" t="str">
        <f t="shared" si="141"/>
        <v>= ,00 * 8% (afrundet) =</v>
      </c>
      <c r="S192" s="578"/>
      <c r="T192" s="564"/>
      <c r="U192" s="127"/>
      <c r="V192" s="127"/>
      <c r="W192" s="127"/>
      <c r="X192" s="127"/>
      <c r="Y192" s="127"/>
    </row>
    <row r="193" spans="1:25" s="565" customFormat="1">
      <c r="A193" s="575"/>
      <c r="B193" s="576">
        <f t="shared" si="92"/>
        <v>49</v>
      </c>
      <c r="C193" s="576"/>
      <c r="D193" s="576">
        <f t="shared" si="123"/>
        <v>93</v>
      </c>
      <c r="E193" s="576"/>
      <c r="F193" s="588" t="s">
        <v>102</v>
      </c>
      <c r="G193" s="577" t="str">
        <f>"= lin. 47 - lin. 48 ="</f>
        <v>= lin. 47 - lin. 48 =</v>
      </c>
      <c r="H193" s="577" t="str">
        <f t="shared" ref="H193:R193" si="142">"= lin. 47 - lin. 48 ="</f>
        <v>= lin. 47 - lin. 48 =</v>
      </c>
      <c r="I193" s="577" t="str">
        <f t="shared" si="142"/>
        <v>= lin. 47 - lin. 48 =</v>
      </c>
      <c r="J193" s="577" t="str">
        <f t="shared" si="142"/>
        <v>= lin. 47 - lin. 48 =</v>
      </c>
      <c r="K193" s="577" t="str">
        <f t="shared" si="142"/>
        <v>= lin. 47 - lin. 48 =</v>
      </c>
      <c r="L193" s="577" t="str">
        <f t="shared" si="142"/>
        <v>= lin. 47 - lin. 48 =</v>
      </c>
      <c r="M193" s="577" t="str">
        <f t="shared" si="142"/>
        <v>= lin. 47 - lin. 48 =</v>
      </c>
      <c r="N193" s="577" t="str">
        <f t="shared" si="142"/>
        <v>= lin. 47 - lin. 48 =</v>
      </c>
      <c r="O193" s="577" t="str">
        <f t="shared" si="142"/>
        <v>= lin. 47 - lin. 48 =</v>
      </c>
      <c r="P193" s="577" t="str">
        <f t="shared" si="142"/>
        <v>= lin. 47 - lin. 48 =</v>
      </c>
      <c r="Q193" s="577" t="str">
        <f t="shared" si="142"/>
        <v>= lin. 47 - lin. 48 =</v>
      </c>
      <c r="R193" s="577" t="str">
        <f t="shared" si="142"/>
        <v>= lin. 47 - lin. 48 =</v>
      </c>
      <c r="S193" s="578"/>
      <c r="T193" s="564"/>
      <c r="U193" s="127"/>
      <c r="V193" s="127"/>
      <c r="W193" s="127"/>
      <c r="X193" s="127"/>
      <c r="Y193" s="127"/>
    </row>
    <row r="194" spans="1:25" s="565" customFormat="1">
      <c r="A194" s="575"/>
      <c r="B194" s="576">
        <f t="shared" si="92"/>
        <v>50</v>
      </c>
      <c r="C194" s="576"/>
      <c r="D194" s="576">
        <f t="shared" si="123"/>
        <v>94</v>
      </c>
      <c r="E194" s="576"/>
      <c r="F194" s="588" t="s">
        <v>115</v>
      </c>
      <c r="G194" s="577" t="str">
        <f>"= lin. 49 - lin. 52 (nedrundet til hele 10er) ="</f>
        <v>= lin. 49 - lin. 52 (nedrundet til hele 10er) =</v>
      </c>
      <c r="H194" s="577" t="str">
        <f t="shared" ref="H194:R194" si="143">"= lin. 49 - lin. 52 (nedrundet til hele 10er) ="</f>
        <v>= lin. 49 - lin. 52 (nedrundet til hele 10er) =</v>
      </c>
      <c r="I194" s="577" t="str">
        <f t="shared" si="143"/>
        <v>= lin. 49 - lin. 52 (nedrundet til hele 10er) =</v>
      </c>
      <c r="J194" s="577" t="str">
        <f t="shared" si="143"/>
        <v>= lin. 49 - lin. 52 (nedrundet til hele 10er) =</v>
      </c>
      <c r="K194" s="577" t="str">
        <f t="shared" si="143"/>
        <v>= lin. 49 - lin. 52 (nedrundet til hele 10er) =</v>
      </c>
      <c r="L194" s="577" t="str">
        <f t="shared" si="143"/>
        <v>= lin. 49 - lin. 52 (nedrundet til hele 10er) =</v>
      </c>
      <c r="M194" s="577" t="str">
        <f t="shared" si="143"/>
        <v>= lin. 49 - lin. 52 (nedrundet til hele 10er) =</v>
      </c>
      <c r="N194" s="577" t="str">
        <f t="shared" si="143"/>
        <v>= lin. 49 - lin. 52 (nedrundet til hele 10er) =</v>
      </c>
      <c r="O194" s="577" t="str">
        <f t="shared" si="143"/>
        <v>= lin. 49 - lin. 52 (nedrundet til hele 10er) =</v>
      </c>
      <c r="P194" s="577" t="str">
        <f t="shared" si="143"/>
        <v>= lin. 49 - lin. 52 (nedrundet til hele 10er) =</v>
      </c>
      <c r="Q194" s="577" t="str">
        <f t="shared" si="143"/>
        <v>= lin. 49 - lin. 52 (nedrundet til hele 10er) =</v>
      </c>
      <c r="R194" s="577" t="str">
        <f t="shared" si="143"/>
        <v>= lin. 49 - lin. 52 (nedrundet til hele 10er) =</v>
      </c>
      <c r="S194" s="578"/>
      <c r="T194" s="564"/>
      <c r="U194" s="127"/>
      <c r="V194" s="127"/>
      <c r="W194" s="127"/>
      <c r="X194" s="127"/>
      <c r="Y194" s="127"/>
    </row>
    <row r="195" spans="1:25" s="565" customFormat="1">
      <c r="A195" s="575"/>
      <c r="B195" s="576">
        <f>B194+3</f>
        <v>53</v>
      </c>
      <c r="C195" s="576"/>
      <c r="D195" s="576">
        <f t="shared" si="123"/>
        <v>95</v>
      </c>
      <c r="E195" s="576"/>
      <c r="F195" s="588" t="s">
        <v>103</v>
      </c>
      <c r="G195" s="577" t="str">
        <f>"= lin. 50 * "&amp;G26&amp;"% (nedrundet) ="</f>
        <v>= lin. 50 * % (nedrundet) =</v>
      </c>
      <c r="H195" s="577" t="str">
        <f t="shared" ref="H195:R195" si="144">"= lin. 50 * "&amp;H26&amp;"% (nedrundet) ="</f>
        <v>= lin. 50 * 0% (nedrundet) =</v>
      </c>
      <c r="I195" s="577" t="str">
        <f t="shared" si="144"/>
        <v>= lin. 50 * 0% (nedrundet) =</v>
      </c>
      <c r="J195" s="577" t="str">
        <f t="shared" si="144"/>
        <v>= lin. 50 * 0% (nedrundet) =</v>
      </c>
      <c r="K195" s="577" t="str">
        <f t="shared" si="144"/>
        <v>= lin. 50 * 0% (nedrundet) =</v>
      </c>
      <c r="L195" s="577" t="str">
        <f t="shared" si="144"/>
        <v>= lin. 50 * 0% (nedrundet) =</v>
      </c>
      <c r="M195" s="577" t="str">
        <f t="shared" si="144"/>
        <v>= lin. 50 * 0% (nedrundet) =</v>
      </c>
      <c r="N195" s="577" t="str">
        <f t="shared" si="144"/>
        <v>= lin. 50 * 0% (nedrundet) =</v>
      </c>
      <c r="O195" s="577" t="str">
        <f t="shared" si="144"/>
        <v>= lin. 50 * 0% (nedrundet) =</v>
      </c>
      <c r="P195" s="577" t="str">
        <f t="shared" si="144"/>
        <v>= lin. 50 * 0% (nedrundet) =</v>
      </c>
      <c r="Q195" s="577" t="str">
        <f t="shared" si="144"/>
        <v>= lin. 50 * 0% (nedrundet) =</v>
      </c>
      <c r="R195" s="577" t="str">
        <f t="shared" si="144"/>
        <v>= lin. 50 * 0% (nedrundet) =</v>
      </c>
      <c r="S195" s="578"/>
      <c r="T195" s="564"/>
      <c r="U195" s="127"/>
      <c r="V195" s="127"/>
      <c r="W195" s="127"/>
      <c r="X195" s="127"/>
      <c r="Y195" s="127"/>
    </row>
    <row r="196" spans="1:25" s="565" customFormat="1">
      <c r="A196" s="575"/>
      <c r="B196" s="589">
        <f t="shared" si="92"/>
        <v>54</v>
      </c>
      <c r="C196" s="589"/>
      <c r="D196" s="589">
        <f t="shared" si="123"/>
        <v>96</v>
      </c>
      <c r="E196" s="589"/>
      <c r="F196" s="590" t="s">
        <v>371</v>
      </c>
      <c r="G196" s="591"/>
      <c r="H196" s="591"/>
      <c r="I196" s="591"/>
      <c r="J196" s="591"/>
      <c r="K196" s="591"/>
      <c r="L196" s="591"/>
      <c r="M196" s="591"/>
      <c r="N196" s="591"/>
      <c r="O196" s="591"/>
      <c r="P196" s="591"/>
      <c r="Q196" s="591"/>
      <c r="R196" s="591"/>
      <c r="S196" s="578"/>
      <c r="T196" s="564"/>
      <c r="U196" s="127"/>
      <c r="V196" s="127"/>
      <c r="W196" s="127"/>
      <c r="X196" s="127"/>
      <c r="Y196" s="127"/>
    </row>
    <row r="197" spans="1:25" s="565" customFormat="1">
      <c r="A197" s="575"/>
      <c r="B197" s="589">
        <f t="shared" si="92"/>
        <v>55</v>
      </c>
      <c r="C197" s="589"/>
      <c r="D197" s="589">
        <f t="shared" si="123"/>
        <v>97</v>
      </c>
      <c r="E197" s="589"/>
      <c r="F197" s="590" t="s">
        <v>372</v>
      </c>
      <c r="G197" s="591"/>
      <c r="H197" s="591"/>
      <c r="I197" s="591"/>
      <c r="J197" s="591"/>
      <c r="K197" s="591"/>
      <c r="L197" s="591"/>
      <c r="M197" s="591"/>
      <c r="N197" s="591"/>
      <c r="O197" s="591"/>
      <c r="P197" s="591"/>
      <c r="Q197" s="591"/>
      <c r="R197" s="591"/>
      <c r="S197" s="578"/>
      <c r="T197" s="564"/>
      <c r="U197" s="127"/>
      <c r="V197" s="127"/>
      <c r="W197" s="127"/>
      <c r="X197" s="127"/>
      <c r="Y197" s="127"/>
    </row>
    <row r="198" spans="1:25" s="565" customFormat="1">
      <c r="A198" s="575"/>
      <c r="B198" s="576">
        <f>B197+1</f>
        <v>56</v>
      </c>
      <c r="C198" s="576"/>
      <c r="D198" s="576">
        <f t="shared" si="123"/>
        <v>98</v>
      </c>
      <c r="E198" s="576"/>
      <c r="F198" s="588" t="s">
        <v>193</v>
      </c>
      <c r="G198" s="577" t="str">
        <f>"= lin. 45 ="</f>
        <v>= lin. 45 =</v>
      </c>
      <c r="H198" s="577" t="str">
        <f t="shared" ref="H198:R198" si="145">"= lin. 45 ="</f>
        <v>= lin. 45 =</v>
      </c>
      <c r="I198" s="577" t="str">
        <f t="shared" si="145"/>
        <v>= lin. 45 =</v>
      </c>
      <c r="J198" s="577" t="str">
        <f t="shared" si="145"/>
        <v>= lin. 45 =</v>
      </c>
      <c r="K198" s="577" t="str">
        <f t="shared" si="145"/>
        <v>= lin. 45 =</v>
      </c>
      <c r="L198" s="577" t="str">
        <f t="shared" si="145"/>
        <v>= lin. 45 =</v>
      </c>
      <c r="M198" s="577" t="str">
        <f t="shared" si="145"/>
        <v>= lin. 45 =</v>
      </c>
      <c r="N198" s="577" t="str">
        <f t="shared" si="145"/>
        <v>= lin. 45 =</v>
      </c>
      <c r="O198" s="577" t="str">
        <f t="shared" si="145"/>
        <v>= lin. 45 =</v>
      </c>
      <c r="P198" s="577" t="str">
        <f t="shared" si="145"/>
        <v>= lin. 45 =</v>
      </c>
      <c r="Q198" s="577" t="str">
        <f t="shared" si="145"/>
        <v>= lin. 45 =</v>
      </c>
      <c r="R198" s="577" t="str">
        <f t="shared" si="145"/>
        <v>= lin. 45 =</v>
      </c>
      <c r="S198" s="578"/>
      <c r="T198" s="564"/>
      <c r="U198" s="127"/>
      <c r="V198" s="127"/>
      <c r="W198" s="127"/>
      <c r="X198" s="127"/>
      <c r="Y198" s="127"/>
    </row>
    <row r="199" spans="1:25" s="565" customFormat="1">
      <c r="A199" s="575"/>
      <c r="B199" s="576">
        <f t="shared" si="92"/>
        <v>57</v>
      </c>
      <c r="C199" s="576"/>
      <c r="D199" s="576">
        <f t="shared" si="123"/>
        <v>99</v>
      </c>
      <c r="E199" s="576"/>
      <c r="F199" s="588" t="s">
        <v>197</v>
      </c>
      <c r="G199" s="577" t="str">
        <f>"= lin. 54 * 2 ="</f>
        <v>= lin. 54 * 2 =</v>
      </c>
      <c r="H199" s="577" t="str">
        <f t="shared" ref="H199:R199" si="146">"= lin. 54 * 2 ="</f>
        <v>= lin. 54 * 2 =</v>
      </c>
      <c r="I199" s="577" t="str">
        <f t="shared" si="146"/>
        <v>= lin. 54 * 2 =</v>
      </c>
      <c r="J199" s="577" t="str">
        <f t="shared" si="146"/>
        <v>= lin. 54 * 2 =</v>
      </c>
      <c r="K199" s="577" t="str">
        <f t="shared" si="146"/>
        <v>= lin. 54 * 2 =</v>
      </c>
      <c r="L199" s="577" t="str">
        <f t="shared" si="146"/>
        <v>= lin. 54 * 2 =</v>
      </c>
      <c r="M199" s="577" t="str">
        <f t="shared" si="146"/>
        <v>= lin. 54 * 2 =</v>
      </c>
      <c r="N199" s="577" t="str">
        <f t="shared" si="146"/>
        <v>= lin. 54 * 2 =</v>
      </c>
      <c r="O199" s="577" t="str">
        <f t="shared" si="146"/>
        <v>= lin. 54 * 2 =</v>
      </c>
      <c r="P199" s="577" t="str">
        <f t="shared" si="146"/>
        <v>= lin. 54 * 2 =</v>
      </c>
      <c r="Q199" s="577" t="str">
        <f t="shared" si="146"/>
        <v>= lin. 54 * 2 =</v>
      </c>
      <c r="R199" s="577" t="str">
        <f t="shared" si="146"/>
        <v>= lin. 54 * 2 =</v>
      </c>
      <c r="S199" s="578"/>
      <c r="T199" s="564"/>
      <c r="U199" s="127"/>
      <c r="V199" s="127"/>
      <c r="W199" s="127"/>
      <c r="X199" s="127"/>
      <c r="Y199" s="127"/>
    </row>
    <row r="200" spans="1:25" s="565" customFormat="1">
      <c r="A200" s="575"/>
      <c r="B200" s="576">
        <f t="shared" si="92"/>
        <v>58</v>
      </c>
      <c r="C200" s="576"/>
      <c r="D200" s="576">
        <f t="shared" si="123"/>
        <v>100</v>
      </c>
      <c r="E200" s="576"/>
      <c r="F200" s="588" t="s">
        <v>46</v>
      </c>
      <c r="G200" s="577" t="str">
        <f>"2/3 af den samlede indbetaling (lin. 58) iflg. A-satser"</f>
        <v>2/3 af den samlede indbetaling (lin. 58) iflg. A-satser</v>
      </c>
      <c r="H200" s="577" t="str">
        <f t="shared" ref="H200:R200" si="147">"2/3 af den samlede indbetaling (lin. 58) iflg. A-satser"</f>
        <v>2/3 af den samlede indbetaling (lin. 58) iflg. A-satser</v>
      </c>
      <c r="I200" s="577" t="str">
        <f t="shared" si="147"/>
        <v>2/3 af den samlede indbetaling (lin. 58) iflg. A-satser</v>
      </c>
      <c r="J200" s="577" t="str">
        <f t="shared" si="147"/>
        <v>2/3 af den samlede indbetaling (lin. 58) iflg. A-satser</v>
      </c>
      <c r="K200" s="577" t="str">
        <f t="shared" si="147"/>
        <v>2/3 af den samlede indbetaling (lin. 58) iflg. A-satser</v>
      </c>
      <c r="L200" s="577" t="str">
        <f t="shared" si="147"/>
        <v>2/3 af den samlede indbetaling (lin. 58) iflg. A-satser</v>
      </c>
      <c r="M200" s="577" t="str">
        <f t="shared" si="147"/>
        <v>2/3 af den samlede indbetaling (lin. 58) iflg. A-satser</v>
      </c>
      <c r="N200" s="577" t="str">
        <f t="shared" si="147"/>
        <v>2/3 af den samlede indbetaling (lin. 58) iflg. A-satser</v>
      </c>
      <c r="O200" s="577" t="str">
        <f t="shared" si="147"/>
        <v>2/3 af den samlede indbetaling (lin. 58) iflg. A-satser</v>
      </c>
      <c r="P200" s="577" t="str">
        <f t="shared" si="147"/>
        <v>2/3 af den samlede indbetaling (lin. 58) iflg. A-satser</v>
      </c>
      <c r="Q200" s="577" t="str">
        <f t="shared" si="147"/>
        <v>2/3 af den samlede indbetaling (lin. 58) iflg. A-satser</v>
      </c>
      <c r="R200" s="577" t="str">
        <f t="shared" si="147"/>
        <v>2/3 af den samlede indbetaling (lin. 58) iflg. A-satser</v>
      </c>
      <c r="S200" s="578"/>
      <c r="T200" s="564"/>
      <c r="U200" s="127"/>
      <c r="V200" s="127"/>
      <c r="W200" s="127"/>
      <c r="X200" s="127"/>
      <c r="Y200" s="127"/>
    </row>
    <row r="201" spans="1:25" s="565" customFormat="1">
      <c r="A201" s="575"/>
      <c r="B201" s="576">
        <f t="shared" si="92"/>
        <v>59</v>
      </c>
      <c r="C201" s="576"/>
      <c r="D201" s="576">
        <f t="shared" si="123"/>
        <v>101</v>
      </c>
      <c r="E201" s="576"/>
      <c r="F201" s="588" t="s">
        <v>120</v>
      </c>
      <c r="G201" s="577" t="str">
        <f>"= lin. 54 + lin. 55 ="</f>
        <v>= lin. 54 + lin. 55 =</v>
      </c>
      <c r="H201" s="577" t="str">
        <f t="shared" ref="H201:R201" si="148">"= lin. 54 + lin. 55 ="</f>
        <v>= lin. 54 + lin. 55 =</v>
      </c>
      <c r="I201" s="577" t="str">
        <f t="shared" si="148"/>
        <v>= lin. 54 + lin. 55 =</v>
      </c>
      <c r="J201" s="577" t="str">
        <f t="shared" si="148"/>
        <v>= lin. 54 + lin. 55 =</v>
      </c>
      <c r="K201" s="577" t="str">
        <f t="shared" si="148"/>
        <v>= lin. 54 + lin. 55 =</v>
      </c>
      <c r="L201" s="577" t="str">
        <f t="shared" si="148"/>
        <v>= lin. 54 + lin. 55 =</v>
      </c>
      <c r="M201" s="577" t="str">
        <f t="shared" si="148"/>
        <v>= lin. 54 + lin. 55 =</v>
      </c>
      <c r="N201" s="577" t="str">
        <f t="shared" si="148"/>
        <v>= lin. 54 + lin. 55 =</v>
      </c>
      <c r="O201" s="577" t="str">
        <f t="shared" si="148"/>
        <v>= lin. 54 + lin. 55 =</v>
      </c>
      <c r="P201" s="577" t="str">
        <f t="shared" si="148"/>
        <v>= lin. 54 + lin. 55 =</v>
      </c>
      <c r="Q201" s="577" t="str">
        <f t="shared" si="148"/>
        <v>= lin. 54 + lin. 55 =</v>
      </c>
      <c r="R201" s="577" t="str">
        <f t="shared" si="148"/>
        <v>= lin. 54 + lin. 55 =</v>
      </c>
      <c r="S201" s="578"/>
      <c r="T201" s="564"/>
      <c r="U201" s="127"/>
      <c r="V201" s="127"/>
      <c r="W201" s="127"/>
      <c r="X201" s="127"/>
      <c r="Y201" s="127"/>
    </row>
    <row r="202" spans="1:25" s="565" customFormat="1">
      <c r="A202" s="575"/>
      <c r="B202" s="576">
        <f t="shared" si="92"/>
        <v>60</v>
      </c>
      <c r="C202" s="576"/>
      <c r="D202" s="576">
        <f t="shared" si="123"/>
        <v>102</v>
      </c>
      <c r="E202" s="576"/>
      <c r="F202" s="588" t="s">
        <v>121</v>
      </c>
      <c r="G202" s="577" t="str">
        <f>"iflg. ATP's satser (afhængig af beskæftigelsesgraden)"</f>
        <v>iflg. ATP's satser (afhængig af beskæftigelsesgraden)</v>
      </c>
      <c r="H202" s="577" t="str">
        <f t="shared" ref="H202:R202" si="149">"iflg. ATP's satser (afhængig af beskæftigelsesgraden)"</f>
        <v>iflg. ATP's satser (afhængig af beskæftigelsesgraden)</v>
      </c>
      <c r="I202" s="577" t="str">
        <f t="shared" si="149"/>
        <v>iflg. ATP's satser (afhængig af beskæftigelsesgraden)</v>
      </c>
      <c r="J202" s="577" t="str">
        <f t="shared" si="149"/>
        <v>iflg. ATP's satser (afhængig af beskæftigelsesgraden)</v>
      </c>
      <c r="K202" s="577" t="str">
        <f t="shared" si="149"/>
        <v>iflg. ATP's satser (afhængig af beskæftigelsesgraden)</v>
      </c>
      <c r="L202" s="577" t="str">
        <f t="shared" si="149"/>
        <v>iflg. ATP's satser (afhængig af beskæftigelsesgraden)</v>
      </c>
      <c r="M202" s="577" t="str">
        <f t="shared" si="149"/>
        <v>iflg. ATP's satser (afhængig af beskæftigelsesgraden)</v>
      </c>
      <c r="N202" s="577" t="str">
        <f t="shared" si="149"/>
        <v>iflg. ATP's satser (afhængig af beskæftigelsesgraden)</v>
      </c>
      <c r="O202" s="577" t="str">
        <f t="shared" si="149"/>
        <v>iflg. ATP's satser (afhængig af beskæftigelsesgraden)</v>
      </c>
      <c r="P202" s="577" t="str">
        <f t="shared" si="149"/>
        <v>iflg. ATP's satser (afhængig af beskæftigelsesgraden)</v>
      </c>
      <c r="Q202" s="577" t="str">
        <f t="shared" si="149"/>
        <v>iflg. ATP's satser (afhængig af beskæftigelsesgraden)</v>
      </c>
      <c r="R202" s="577" t="str">
        <f t="shared" si="149"/>
        <v>iflg. ATP's satser (afhængig af beskæftigelsesgraden)</v>
      </c>
      <c r="S202" s="578"/>
      <c r="T202" s="564"/>
      <c r="U202" s="127"/>
      <c r="V202" s="127"/>
      <c r="W202" s="127"/>
      <c r="X202" s="127"/>
      <c r="Y202" s="127"/>
    </row>
    <row r="203" spans="1:25" s="565" customFormat="1">
      <c r="A203" s="575"/>
      <c r="B203" s="576">
        <f t="shared" si="92"/>
        <v>61</v>
      </c>
      <c r="C203" s="576"/>
      <c r="D203" s="576">
        <f t="shared" si="123"/>
        <v>103</v>
      </c>
      <c r="E203" s="576"/>
      <c r="F203" s="588" t="s">
        <v>144</v>
      </c>
      <c r="G203" s="577" t="e">
        <f t="shared" ref="G203:R203" si="150">"= "&amp;TEXT(ROUND(ROUND(VLOOKUP(VALUE(MID(G5,2,2)),Skalalontabel12,7,0)*G6,0)/12,2),"#.###,00")&amp;" * 15% * "&amp;TEXT(MIN(1,G8),"0,0000")&amp;" * "&amp;TEXT(G$3,"#0/#0")&amp;" ="</f>
        <v>#VALUE!</v>
      </c>
      <c r="H203" s="577" t="e">
        <f t="shared" si="150"/>
        <v>#VALUE!</v>
      </c>
      <c r="I203" s="577" t="e">
        <f t="shared" si="150"/>
        <v>#VALUE!</v>
      </c>
      <c r="J203" s="577" t="e">
        <f t="shared" si="150"/>
        <v>#VALUE!</v>
      </c>
      <c r="K203" s="577" t="e">
        <f t="shared" si="150"/>
        <v>#VALUE!</v>
      </c>
      <c r="L203" s="577" t="e">
        <f t="shared" si="150"/>
        <v>#VALUE!</v>
      </c>
      <c r="M203" s="577" t="e">
        <f t="shared" si="150"/>
        <v>#VALUE!</v>
      </c>
      <c r="N203" s="577" t="e">
        <f t="shared" si="150"/>
        <v>#VALUE!</v>
      </c>
      <c r="O203" s="577" t="e">
        <f t="shared" si="150"/>
        <v>#VALUE!</v>
      </c>
      <c r="P203" s="577" t="e">
        <f t="shared" si="150"/>
        <v>#VALUE!</v>
      </c>
      <c r="Q203" s="577" t="e">
        <f t="shared" si="150"/>
        <v>#VALUE!</v>
      </c>
      <c r="R203" s="577" t="e">
        <f t="shared" si="150"/>
        <v>#VALUE!</v>
      </c>
      <c r="S203" s="578"/>
      <c r="T203" s="564"/>
      <c r="U203" s="127"/>
      <c r="V203" s="127"/>
      <c r="W203" s="127"/>
      <c r="X203" s="127"/>
      <c r="Y203" s="127"/>
    </row>
    <row r="204" spans="1:25" s="565" customFormat="1">
      <c r="A204" s="575"/>
      <c r="B204" s="589">
        <f t="shared" si="92"/>
        <v>62</v>
      </c>
      <c r="C204" s="589"/>
      <c r="D204" s="589">
        <f t="shared" si="123"/>
        <v>104</v>
      </c>
      <c r="E204" s="589"/>
      <c r="F204" s="590" t="s">
        <v>104</v>
      </c>
      <c r="G204" s="592"/>
      <c r="H204" s="592"/>
      <c r="I204" s="592"/>
      <c r="J204" s="592"/>
      <c r="K204" s="592"/>
      <c r="L204" s="592"/>
      <c r="M204" s="592"/>
      <c r="N204" s="592"/>
      <c r="O204" s="592"/>
      <c r="P204" s="592"/>
      <c r="Q204" s="592"/>
      <c r="R204" s="592"/>
      <c r="S204" s="578"/>
      <c r="T204" s="564"/>
      <c r="U204" s="127"/>
      <c r="V204" s="127"/>
      <c r="W204" s="127"/>
      <c r="X204" s="127"/>
      <c r="Y204" s="127"/>
    </row>
    <row r="205" spans="1:25" s="565" customFormat="1">
      <c r="A205" s="575"/>
      <c r="B205" s="576">
        <f t="shared" si="92"/>
        <v>63</v>
      </c>
      <c r="C205" s="576"/>
      <c r="D205" s="576">
        <f t="shared" si="123"/>
        <v>105</v>
      </c>
      <c r="E205" s="576"/>
      <c r="F205" s="593" t="s">
        <v>228</v>
      </c>
      <c r="G205" s="577" t="str">
        <f>"= lin. 29 - lin. 46 - lin. 48 - lin. 53 - lin. 60 ="</f>
        <v>= lin. 29 - lin. 46 - lin. 48 - lin. 53 - lin. 60 =</v>
      </c>
      <c r="H205" s="577" t="str">
        <f t="shared" ref="H205:R205" si="151">"= lin. 29 - lin. 46 - lin. 48 - lin. 53 - lin. 60 ="</f>
        <v>= lin. 29 - lin. 46 - lin. 48 - lin. 53 - lin. 60 =</v>
      </c>
      <c r="I205" s="577" t="str">
        <f t="shared" si="151"/>
        <v>= lin. 29 - lin. 46 - lin. 48 - lin. 53 - lin. 60 =</v>
      </c>
      <c r="J205" s="577" t="str">
        <f t="shared" si="151"/>
        <v>= lin. 29 - lin. 46 - lin. 48 - lin. 53 - lin. 60 =</v>
      </c>
      <c r="K205" s="577" t="str">
        <f t="shared" si="151"/>
        <v>= lin. 29 - lin. 46 - lin. 48 - lin. 53 - lin. 60 =</v>
      </c>
      <c r="L205" s="577" t="str">
        <f t="shared" si="151"/>
        <v>= lin. 29 - lin. 46 - lin. 48 - lin. 53 - lin. 60 =</v>
      </c>
      <c r="M205" s="577" t="str">
        <f t="shared" si="151"/>
        <v>= lin. 29 - lin. 46 - lin. 48 - lin. 53 - lin. 60 =</v>
      </c>
      <c r="N205" s="577" t="str">
        <f t="shared" si="151"/>
        <v>= lin. 29 - lin. 46 - lin. 48 - lin. 53 - lin. 60 =</v>
      </c>
      <c r="O205" s="577" t="str">
        <f t="shared" si="151"/>
        <v>= lin. 29 - lin. 46 - lin. 48 - lin. 53 - lin. 60 =</v>
      </c>
      <c r="P205" s="577" t="str">
        <f t="shared" si="151"/>
        <v>= lin. 29 - lin. 46 - lin. 48 - lin. 53 - lin. 60 =</v>
      </c>
      <c r="Q205" s="577" t="str">
        <f t="shared" si="151"/>
        <v>= lin. 29 - lin. 46 - lin. 48 - lin. 53 - lin. 60 =</v>
      </c>
      <c r="R205" s="577" t="str">
        <f t="shared" si="151"/>
        <v>= lin. 29 - lin. 46 - lin. 48 - lin. 53 - lin. 60 =</v>
      </c>
      <c r="S205" s="578"/>
      <c r="T205" s="564"/>
      <c r="U205" s="127"/>
      <c r="V205" s="127"/>
      <c r="W205" s="127"/>
      <c r="X205" s="127"/>
      <c r="Y205" s="127"/>
    </row>
    <row r="206" spans="1:25" s="565" customFormat="1">
      <c r="B206" s="569"/>
      <c r="C206" s="569"/>
      <c r="D206" s="569"/>
      <c r="E206" s="569"/>
      <c r="F206" s="569"/>
      <c r="G206" s="569"/>
      <c r="H206" s="569"/>
      <c r="I206" s="569"/>
      <c r="J206" s="569"/>
      <c r="K206" s="569"/>
      <c r="L206" s="569"/>
      <c r="M206" s="570"/>
      <c r="N206" s="127"/>
      <c r="O206" s="127"/>
      <c r="P206" s="127"/>
      <c r="Q206" s="127"/>
      <c r="R206" s="127"/>
      <c r="S206" s="127"/>
    </row>
    <row r="207" spans="1:25" s="565" customFormat="1">
      <c r="B207" s="569"/>
      <c r="C207" s="569"/>
      <c r="D207" s="569"/>
      <c r="E207" s="569"/>
      <c r="F207" s="569"/>
      <c r="G207" s="569"/>
      <c r="H207" s="569"/>
      <c r="I207" s="569"/>
      <c r="J207" s="569"/>
      <c r="K207" s="569"/>
      <c r="L207" s="569"/>
      <c r="M207" s="570"/>
      <c r="N207" s="127"/>
      <c r="O207" s="127"/>
      <c r="P207" s="127"/>
      <c r="Q207" s="127"/>
      <c r="R207" s="127"/>
      <c r="S207" s="127"/>
    </row>
    <row r="208" spans="1:25" s="565" customFormat="1">
      <c r="B208" s="569"/>
      <c r="C208" s="569"/>
      <c r="D208" s="569"/>
      <c r="E208" s="569"/>
      <c r="F208" s="569"/>
      <c r="G208" s="569"/>
      <c r="H208" s="569"/>
      <c r="I208" s="569"/>
      <c r="J208" s="569"/>
      <c r="K208" s="569"/>
      <c r="L208" s="569"/>
      <c r="M208" s="570"/>
      <c r="N208" s="127"/>
      <c r="O208" s="127"/>
      <c r="P208" s="127"/>
      <c r="Q208" s="127"/>
      <c r="R208" s="127"/>
      <c r="S208" s="127"/>
    </row>
    <row r="209" spans="2:25" s="565" customFormat="1">
      <c r="B209" s="569"/>
      <c r="C209" s="569"/>
      <c r="D209" s="569"/>
      <c r="E209" s="569"/>
      <c r="F209" s="569"/>
      <c r="G209" s="569"/>
      <c r="H209" s="569"/>
      <c r="I209" s="569"/>
      <c r="J209" s="569"/>
      <c r="K209" s="569"/>
      <c r="L209" s="569"/>
      <c r="M209" s="570"/>
      <c r="N209" s="127"/>
      <c r="O209" s="127"/>
      <c r="P209" s="127"/>
      <c r="Q209" s="127"/>
      <c r="R209" s="127"/>
      <c r="S209" s="127"/>
    </row>
    <row r="210" spans="2:25" s="565" customFormat="1">
      <c r="B210" s="566"/>
      <c r="C210" s="576"/>
      <c r="D210" s="576"/>
      <c r="E210" s="576"/>
      <c r="G210" s="569"/>
      <c r="H210" s="569"/>
      <c r="I210" s="569"/>
      <c r="J210" s="569"/>
      <c r="K210" s="569"/>
      <c r="L210" s="569"/>
      <c r="M210" s="569"/>
      <c r="N210" s="569"/>
      <c r="O210" s="569"/>
      <c r="P210" s="569"/>
      <c r="Q210" s="569"/>
      <c r="R210" s="569"/>
      <c r="S210" s="570"/>
      <c r="T210" s="127"/>
      <c r="U210" s="127"/>
      <c r="V210" s="127"/>
      <c r="W210" s="127"/>
      <c r="X210" s="127"/>
      <c r="Y210" s="127"/>
    </row>
    <row r="211" spans="2:25" s="565" customFormat="1">
      <c r="B211" s="566"/>
      <c r="C211" s="576"/>
      <c r="D211" s="576"/>
      <c r="E211" s="576"/>
      <c r="G211" s="569"/>
      <c r="H211" s="569"/>
      <c r="I211" s="569"/>
      <c r="J211" s="569"/>
      <c r="K211" s="569"/>
      <c r="L211" s="569"/>
      <c r="M211" s="569"/>
      <c r="N211" s="569"/>
      <c r="O211" s="569"/>
      <c r="P211" s="569"/>
      <c r="Q211" s="569"/>
      <c r="R211" s="569"/>
      <c r="S211" s="570"/>
      <c r="T211" s="127"/>
      <c r="U211" s="127"/>
      <c r="V211" s="127"/>
      <c r="W211" s="127"/>
      <c r="X211" s="127"/>
      <c r="Y211" s="127"/>
    </row>
    <row r="212" spans="2:25" s="565" customFormat="1">
      <c r="B212" s="566"/>
      <c r="C212" s="576"/>
      <c r="D212" s="576"/>
      <c r="E212" s="576"/>
      <c r="G212" s="569"/>
      <c r="H212" s="569"/>
      <c r="I212" s="569"/>
      <c r="J212" s="569"/>
      <c r="K212" s="569"/>
      <c r="L212" s="569"/>
      <c r="M212" s="569"/>
      <c r="N212" s="569"/>
      <c r="O212" s="569"/>
      <c r="P212" s="569"/>
      <c r="Q212" s="569"/>
      <c r="R212" s="569"/>
      <c r="S212" s="570"/>
      <c r="T212" s="127"/>
      <c r="U212" s="127"/>
      <c r="V212" s="127"/>
      <c r="W212" s="127"/>
      <c r="X212" s="127"/>
      <c r="Y212" s="127"/>
    </row>
    <row r="213" spans="2:25" s="565" customFormat="1">
      <c r="B213" s="566"/>
      <c r="C213" s="566"/>
      <c r="D213" s="566"/>
      <c r="E213" s="566"/>
      <c r="G213" s="569"/>
      <c r="H213" s="569"/>
      <c r="I213" s="569"/>
      <c r="J213" s="569"/>
      <c r="K213" s="569"/>
      <c r="L213" s="569"/>
      <c r="M213" s="569"/>
      <c r="N213" s="569"/>
      <c r="O213" s="569"/>
      <c r="P213" s="569"/>
      <c r="Q213" s="569"/>
      <c r="R213" s="569"/>
      <c r="S213" s="570"/>
      <c r="T213" s="127"/>
      <c r="U213" s="127"/>
      <c r="V213" s="127"/>
      <c r="W213" s="127"/>
      <c r="X213" s="127"/>
      <c r="Y213" s="127"/>
    </row>
    <row r="214" spans="2:25" s="565" customFormat="1">
      <c r="B214" s="566"/>
      <c r="C214" s="566"/>
      <c r="D214" s="566"/>
      <c r="E214" s="566"/>
      <c r="G214" s="569"/>
      <c r="H214" s="569"/>
      <c r="I214" s="569"/>
      <c r="J214" s="569"/>
      <c r="K214" s="569"/>
      <c r="L214" s="569"/>
      <c r="M214" s="569"/>
      <c r="N214" s="569"/>
      <c r="O214" s="569"/>
      <c r="P214" s="569"/>
      <c r="Q214" s="569"/>
      <c r="R214" s="569"/>
      <c r="S214" s="570"/>
      <c r="T214" s="127"/>
      <c r="U214" s="127"/>
      <c r="V214" s="127"/>
      <c r="W214" s="127"/>
      <c r="X214" s="127"/>
      <c r="Y214" s="127"/>
    </row>
    <row r="215" spans="2:25" s="565" customFormat="1">
      <c r="B215" s="566"/>
      <c r="C215" s="566"/>
      <c r="D215" s="566"/>
      <c r="E215" s="566"/>
      <c r="G215" s="569"/>
      <c r="H215" s="569"/>
      <c r="I215" s="569"/>
      <c r="J215" s="569"/>
      <c r="K215" s="569"/>
      <c r="L215" s="569"/>
      <c r="M215" s="569"/>
      <c r="N215" s="569"/>
      <c r="O215" s="569"/>
      <c r="P215" s="569"/>
      <c r="Q215" s="569"/>
      <c r="R215" s="569"/>
      <c r="S215" s="570"/>
      <c r="T215" s="127"/>
      <c r="U215" s="127"/>
      <c r="V215" s="127"/>
      <c r="W215" s="127"/>
      <c r="X215" s="127"/>
      <c r="Y215" s="127"/>
    </row>
    <row r="216" spans="2:25" s="565" customFormat="1">
      <c r="B216" s="566"/>
      <c r="C216" s="566"/>
      <c r="D216" s="566"/>
      <c r="E216" s="566"/>
      <c r="G216" s="569"/>
      <c r="H216" s="569"/>
      <c r="I216" s="569"/>
      <c r="J216" s="569"/>
      <c r="K216" s="569"/>
      <c r="L216" s="569"/>
      <c r="M216" s="569"/>
      <c r="N216" s="569"/>
      <c r="O216" s="569"/>
      <c r="P216" s="569"/>
      <c r="Q216" s="569"/>
      <c r="R216" s="569"/>
      <c r="S216" s="570"/>
      <c r="T216" s="127"/>
      <c r="U216" s="127"/>
      <c r="V216" s="127"/>
      <c r="W216" s="127"/>
      <c r="X216" s="127"/>
      <c r="Y216" s="127"/>
    </row>
    <row r="217" spans="2:25" s="565" customFormat="1">
      <c r="B217" s="566"/>
      <c r="C217" s="566"/>
      <c r="D217" s="566"/>
      <c r="E217" s="566"/>
      <c r="G217" s="569"/>
      <c r="H217" s="569"/>
      <c r="I217" s="569"/>
      <c r="J217" s="569"/>
      <c r="K217" s="569"/>
      <c r="L217" s="569"/>
      <c r="M217" s="569"/>
      <c r="N217" s="569"/>
      <c r="O217" s="569"/>
      <c r="P217" s="569"/>
      <c r="Q217" s="569"/>
      <c r="R217" s="569"/>
      <c r="S217" s="570"/>
      <c r="T217" s="127"/>
      <c r="U217" s="127"/>
      <c r="V217" s="127"/>
      <c r="W217" s="127"/>
      <c r="X217" s="127"/>
      <c r="Y217" s="127"/>
    </row>
    <row r="218" spans="2:25" s="565" customFormat="1">
      <c r="B218" s="566"/>
      <c r="C218" s="566"/>
      <c r="D218" s="566"/>
      <c r="E218" s="566"/>
      <c r="G218" s="569"/>
      <c r="H218" s="569"/>
      <c r="I218" s="569"/>
      <c r="J218" s="569"/>
      <c r="K218" s="569"/>
      <c r="L218" s="569"/>
      <c r="M218" s="569"/>
      <c r="N218" s="569"/>
      <c r="O218" s="569"/>
      <c r="P218" s="569"/>
      <c r="Q218" s="569"/>
      <c r="R218" s="569"/>
      <c r="S218" s="570"/>
      <c r="T218" s="127"/>
      <c r="U218" s="127"/>
      <c r="V218" s="127"/>
      <c r="W218" s="127"/>
      <c r="X218" s="127"/>
      <c r="Y218" s="127"/>
    </row>
    <row r="219" spans="2:25" s="565" customFormat="1">
      <c r="B219" s="566"/>
      <c r="C219" s="566"/>
      <c r="D219" s="566"/>
      <c r="E219" s="566"/>
      <c r="G219" s="569"/>
      <c r="H219" s="569"/>
      <c r="I219" s="569"/>
      <c r="J219" s="569"/>
      <c r="K219" s="569"/>
      <c r="L219" s="569"/>
      <c r="M219" s="569"/>
      <c r="N219" s="569"/>
      <c r="O219" s="569"/>
      <c r="P219" s="569"/>
      <c r="Q219" s="569"/>
      <c r="R219" s="569"/>
      <c r="S219" s="570"/>
      <c r="T219" s="127"/>
      <c r="U219" s="127"/>
      <c r="V219" s="127"/>
      <c r="W219" s="127"/>
      <c r="X219" s="127"/>
      <c r="Y219" s="127"/>
    </row>
    <row r="220" spans="2:25" s="565" customFormat="1">
      <c r="B220" s="566"/>
      <c r="C220" s="566"/>
      <c r="D220" s="566"/>
      <c r="E220" s="566"/>
      <c r="G220" s="569"/>
      <c r="H220" s="569"/>
      <c r="I220" s="569"/>
      <c r="J220" s="569"/>
      <c r="K220" s="569"/>
      <c r="L220" s="569"/>
      <c r="M220" s="569"/>
      <c r="N220" s="569"/>
      <c r="O220" s="569"/>
      <c r="P220" s="569"/>
      <c r="Q220" s="569"/>
      <c r="R220" s="569"/>
      <c r="S220" s="570"/>
      <c r="T220" s="127"/>
      <c r="U220" s="127"/>
      <c r="V220" s="127"/>
      <c r="W220" s="127"/>
      <c r="X220" s="127"/>
      <c r="Y220" s="127"/>
    </row>
    <row r="221" spans="2:25" s="565" customFormat="1">
      <c r="B221" s="566"/>
      <c r="C221" s="566"/>
      <c r="D221" s="566"/>
      <c r="E221" s="566"/>
      <c r="G221" s="569"/>
      <c r="H221" s="569"/>
      <c r="I221" s="569"/>
      <c r="J221" s="569"/>
      <c r="K221" s="569"/>
      <c r="L221" s="569"/>
      <c r="M221" s="569"/>
      <c r="N221" s="569"/>
      <c r="O221" s="569"/>
      <c r="P221" s="569"/>
      <c r="Q221" s="569"/>
      <c r="R221" s="569"/>
      <c r="S221" s="570"/>
      <c r="T221" s="127"/>
      <c r="U221" s="127"/>
      <c r="V221" s="127"/>
      <c r="W221" s="127"/>
      <c r="X221" s="127"/>
      <c r="Y221" s="127"/>
    </row>
    <row r="222" spans="2:25" s="565" customFormat="1">
      <c r="B222" s="566"/>
      <c r="C222" s="566"/>
      <c r="D222" s="566"/>
      <c r="E222" s="566"/>
      <c r="G222" s="569"/>
      <c r="H222" s="569"/>
      <c r="I222" s="569"/>
      <c r="J222" s="569"/>
      <c r="K222" s="569"/>
      <c r="L222" s="569"/>
      <c r="M222" s="569"/>
      <c r="N222" s="569"/>
      <c r="O222" s="569"/>
      <c r="P222" s="569"/>
      <c r="Q222" s="569"/>
      <c r="R222" s="569"/>
      <c r="S222" s="570"/>
      <c r="T222" s="127"/>
      <c r="U222" s="127"/>
      <c r="V222" s="127"/>
      <c r="W222" s="127"/>
      <c r="X222" s="127"/>
      <c r="Y222" s="127"/>
    </row>
    <row r="223" spans="2:25" s="565" customFormat="1">
      <c r="B223" s="566"/>
      <c r="C223" s="566"/>
      <c r="D223" s="566"/>
      <c r="E223" s="566"/>
      <c r="G223" s="569"/>
      <c r="H223" s="569"/>
      <c r="I223" s="569"/>
      <c r="J223" s="569"/>
      <c r="K223" s="569"/>
      <c r="L223" s="569"/>
      <c r="M223" s="569"/>
      <c r="N223" s="569"/>
      <c r="O223" s="569"/>
      <c r="P223" s="569"/>
      <c r="Q223" s="569"/>
      <c r="R223" s="569"/>
      <c r="S223" s="570"/>
      <c r="T223" s="127"/>
      <c r="U223" s="127"/>
      <c r="V223" s="127"/>
      <c r="W223" s="127"/>
      <c r="X223" s="127"/>
      <c r="Y223" s="127"/>
    </row>
    <row r="224" spans="2:25" s="565" customFormat="1">
      <c r="B224" s="566"/>
      <c r="C224" s="566"/>
      <c r="D224" s="566"/>
      <c r="E224" s="566"/>
      <c r="G224" s="569"/>
      <c r="H224" s="569"/>
      <c r="I224" s="569"/>
      <c r="J224" s="569"/>
      <c r="K224" s="569"/>
      <c r="L224" s="569"/>
      <c r="M224" s="569"/>
      <c r="N224" s="569"/>
      <c r="O224" s="569"/>
      <c r="P224" s="569"/>
      <c r="Q224" s="569"/>
      <c r="R224" s="569"/>
      <c r="S224" s="570"/>
      <c r="T224" s="127"/>
      <c r="U224" s="127"/>
      <c r="V224" s="127"/>
      <c r="W224" s="127"/>
      <c r="X224" s="127"/>
      <c r="Y224" s="127"/>
    </row>
    <row r="225" spans="2:25" s="565" customFormat="1">
      <c r="B225" s="566"/>
      <c r="C225" s="566"/>
      <c r="D225" s="566"/>
      <c r="E225" s="566"/>
      <c r="G225" s="569"/>
      <c r="H225" s="569"/>
      <c r="I225" s="569"/>
      <c r="J225" s="569"/>
      <c r="K225" s="569"/>
      <c r="L225" s="569"/>
      <c r="M225" s="569"/>
      <c r="N225" s="569"/>
      <c r="O225" s="569"/>
      <c r="P225" s="569"/>
      <c r="Q225" s="569"/>
      <c r="R225" s="569"/>
      <c r="S225" s="570"/>
      <c r="T225" s="127"/>
      <c r="U225" s="127"/>
      <c r="V225" s="127"/>
      <c r="W225" s="127"/>
      <c r="X225" s="127"/>
      <c r="Y225" s="127"/>
    </row>
    <row r="226" spans="2:25" s="565" customFormat="1">
      <c r="B226" s="566"/>
      <c r="C226" s="566"/>
      <c r="D226" s="566"/>
      <c r="E226" s="566"/>
      <c r="G226" s="569"/>
      <c r="H226" s="569"/>
      <c r="I226" s="569"/>
      <c r="J226" s="569"/>
      <c r="K226" s="569"/>
      <c r="L226" s="569"/>
      <c r="M226" s="569"/>
      <c r="N226" s="569"/>
      <c r="O226" s="569"/>
      <c r="P226" s="569"/>
      <c r="Q226" s="569"/>
      <c r="R226" s="569"/>
      <c r="S226" s="570"/>
      <c r="T226" s="127"/>
      <c r="U226" s="127"/>
      <c r="V226" s="127"/>
      <c r="W226" s="127"/>
      <c r="X226" s="127"/>
      <c r="Y226" s="127"/>
    </row>
    <row r="227" spans="2:25" s="565" customFormat="1">
      <c r="B227" s="566"/>
      <c r="C227" s="566"/>
      <c r="D227" s="566"/>
      <c r="E227" s="566"/>
      <c r="G227" s="569"/>
      <c r="H227" s="569"/>
      <c r="I227" s="569"/>
      <c r="J227" s="569"/>
      <c r="K227" s="569"/>
      <c r="L227" s="569"/>
      <c r="M227" s="569"/>
      <c r="N227" s="569"/>
      <c r="O227" s="569"/>
      <c r="P227" s="569"/>
      <c r="Q227" s="569"/>
      <c r="R227" s="569"/>
      <c r="S227" s="570"/>
      <c r="T227" s="127"/>
      <c r="U227" s="127"/>
      <c r="V227" s="127"/>
      <c r="W227" s="127"/>
      <c r="X227" s="127"/>
      <c r="Y227" s="127"/>
    </row>
    <row r="228" spans="2:25" s="565" customFormat="1">
      <c r="B228" s="566"/>
      <c r="C228" s="566"/>
      <c r="D228" s="566"/>
      <c r="E228" s="566"/>
      <c r="G228" s="569"/>
      <c r="H228" s="569"/>
      <c r="I228" s="569"/>
      <c r="J228" s="569"/>
      <c r="K228" s="569"/>
      <c r="L228" s="569"/>
      <c r="M228" s="569"/>
      <c r="N228" s="569"/>
      <c r="O228" s="569"/>
      <c r="P228" s="569"/>
      <c r="Q228" s="569"/>
      <c r="R228" s="569"/>
      <c r="S228" s="570"/>
      <c r="T228" s="127"/>
      <c r="U228" s="127"/>
      <c r="V228" s="127"/>
      <c r="W228" s="127"/>
      <c r="X228" s="127"/>
      <c r="Y228" s="127"/>
    </row>
    <row r="229" spans="2:25" s="565" customFormat="1">
      <c r="B229" s="566"/>
      <c r="C229" s="566"/>
      <c r="D229" s="566"/>
      <c r="E229" s="566"/>
      <c r="G229" s="569"/>
      <c r="H229" s="569"/>
      <c r="I229" s="569"/>
      <c r="J229" s="569"/>
      <c r="K229" s="569"/>
      <c r="L229" s="569"/>
      <c r="M229" s="569"/>
      <c r="N229" s="569"/>
      <c r="O229" s="569"/>
      <c r="P229" s="569"/>
      <c r="Q229" s="569"/>
      <c r="R229" s="569"/>
      <c r="S229" s="570"/>
      <c r="T229" s="127"/>
      <c r="U229" s="127"/>
      <c r="V229" s="127"/>
      <c r="W229" s="127"/>
      <c r="X229" s="127"/>
      <c r="Y229" s="127"/>
    </row>
    <row r="230" spans="2:25" s="565" customFormat="1">
      <c r="B230" s="566"/>
      <c r="C230" s="566"/>
      <c r="D230" s="566"/>
      <c r="E230" s="566"/>
      <c r="G230" s="569"/>
      <c r="H230" s="569"/>
      <c r="I230" s="569"/>
      <c r="J230" s="569"/>
      <c r="K230" s="569"/>
      <c r="L230" s="569"/>
      <c r="M230" s="569"/>
      <c r="N230" s="569"/>
      <c r="O230" s="569"/>
      <c r="P230" s="569"/>
      <c r="Q230" s="569"/>
      <c r="R230" s="569"/>
      <c r="S230" s="570"/>
      <c r="T230" s="127"/>
      <c r="U230" s="127"/>
      <c r="V230" s="127"/>
      <c r="W230" s="127"/>
      <c r="X230" s="127"/>
      <c r="Y230" s="127"/>
    </row>
    <row r="231" spans="2:25" s="565" customFormat="1">
      <c r="B231" s="566"/>
      <c r="C231" s="566"/>
      <c r="D231" s="566"/>
      <c r="E231" s="566"/>
      <c r="G231" s="569"/>
      <c r="H231" s="569"/>
      <c r="I231" s="569"/>
      <c r="J231" s="569"/>
      <c r="K231" s="569"/>
      <c r="L231" s="569"/>
      <c r="M231" s="569"/>
      <c r="N231" s="569"/>
      <c r="O231" s="569"/>
      <c r="P231" s="569"/>
      <c r="Q231" s="569"/>
      <c r="R231" s="569"/>
      <c r="S231" s="570"/>
      <c r="T231" s="127"/>
      <c r="U231" s="127"/>
      <c r="V231" s="127"/>
      <c r="W231" s="127"/>
      <c r="X231" s="127"/>
      <c r="Y231" s="127"/>
    </row>
    <row r="232" spans="2:25" s="565" customFormat="1">
      <c r="B232" s="566"/>
      <c r="C232" s="566"/>
      <c r="D232" s="566"/>
      <c r="E232" s="566"/>
      <c r="G232" s="569"/>
      <c r="H232" s="569"/>
      <c r="I232" s="569"/>
      <c r="J232" s="569"/>
      <c r="K232" s="569"/>
      <c r="L232" s="569"/>
      <c r="M232" s="569"/>
      <c r="N232" s="569"/>
      <c r="O232" s="569"/>
      <c r="P232" s="569"/>
      <c r="Q232" s="569"/>
      <c r="R232" s="569"/>
      <c r="S232" s="570"/>
      <c r="T232" s="127"/>
      <c r="U232" s="127"/>
      <c r="V232" s="127"/>
      <c r="W232" s="127"/>
      <c r="X232" s="127"/>
      <c r="Y232" s="127"/>
    </row>
    <row r="233" spans="2:25" s="565" customFormat="1">
      <c r="B233" s="566"/>
      <c r="C233" s="566"/>
      <c r="D233" s="566"/>
      <c r="E233" s="566"/>
      <c r="G233" s="569"/>
      <c r="H233" s="569"/>
      <c r="I233" s="569"/>
      <c r="J233" s="569"/>
      <c r="K233" s="569"/>
      <c r="L233" s="569"/>
      <c r="M233" s="569"/>
      <c r="N233" s="569"/>
      <c r="O233" s="569"/>
      <c r="P233" s="569"/>
      <c r="Q233" s="569"/>
      <c r="R233" s="569"/>
      <c r="S233" s="570"/>
      <c r="T233" s="127"/>
      <c r="U233" s="127"/>
      <c r="V233" s="127"/>
      <c r="W233" s="127"/>
      <c r="X233" s="127"/>
      <c r="Y233" s="127"/>
    </row>
    <row r="234" spans="2:25" s="565" customFormat="1">
      <c r="B234" s="566"/>
      <c r="C234" s="566"/>
      <c r="D234" s="566"/>
      <c r="E234" s="566"/>
      <c r="G234" s="569"/>
      <c r="H234" s="569"/>
      <c r="I234" s="569"/>
      <c r="J234" s="569"/>
      <c r="K234" s="569"/>
      <c r="L234" s="569"/>
      <c r="M234" s="569"/>
      <c r="N234" s="569"/>
      <c r="O234" s="569"/>
      <c r="P234" s="569"/>
      <c r="Q234" s="569"/>
      <c r="R234" s="569"/>
      <c r="S234" s="570"/>
      <c r="T234" s="127"/>
      <c r="U234" s="127"/>
      <c r="V234" s="127"/>
      <c r="W234" s="127"/>
      <c r="X234" s="127"/>
      <c r="Y234" s="127"/>
    </row>
    <row r="235" spans="2:25" s="565" customFormat="1">
      <c r="B235" s="566"/>
      <c r="C235" s="566"/>
      <c r="D235" s="566"/>
      <c r="E235" s="566"/>
      <c r="G235" s="569"/>
      <c r="H235" s="569"/>
      <c r="I235" s="569"/>
      <c r="J235" s="569"/>
      <c r="K235" s="569"/>
      <c r="L235" s="569"/>
      <c r="M235" s="569"/>
      <c r="N235" s="569"/>
      <c r="O235" s="569"/>
      <c r="P235" s="569"/>
      <c r="Q235" s="569"/>
      <c r="R235" s="569"/>
      <c r="S235" s="570"/>
      <c r="T235" s="127"/>
      <c r="U235" s="127"/>
      <c r="V235" s="127"/>
      <c r="W235" s="127"/>
      <c r="X235" s="127"/>
      <c r="Y235" s="127"/>
    </row>
    <row r="236" spans="2:25" s="565" customFormat="1">
      <c r="B236" s="566"/>
      <c r="C236" s="566"/>
      <c r="D236" s="566"/>
      <c r="E236" s="566"/>
      <c r="G236" s="569"/>
      <c r="H236" s="569"/>
      <c r="I236" s="569"/>
      <c r="J236" s="569"/>
      <c r="K236" s="569"/>
      <c r="L236" s="569"/>
      <c r="M236" s="569"/>
      <c r="N236" s="569"/>
      <c r="O236" s="569"/>
      <c r="P236" s="569"/>
      <c r="Q236" s="569"/>
      <c r="R236" s="569"/>
      <c r="S236" s="570"/>
      <c r="T236" s="127"/>
      <c r="U236" s="127"/>
      <c r="V236" s="127"/>
      <c r="W236" s="127"/>
      <c r="X236" s="127"/>
      <c r="Y236" s="127"/>
    </row>
    <row r="237" spans="2:25" s="565" customFormat="1">
      <c r="B237" s="566"/>
      <c r="C237" s="566"/>
      <c r="D237" s="566"/>
      <c r="E237" s="566"/>
      <c r="G237" s="569"/>
      <c r="H237" s="569"/>
      <c r="I237" s="569"/>
      <c r="J237" s="569"/>
      <c r="K237" s="569"/>
      <c r="L237" s="569"/>
      <c r="M237" s="569"/>
      <c r="N237" s="569"/>
      <c r="O237" s="569"/>
      <c r="P237" s="569"/>
      <c r="Q237" s="569"/>
      <c r="R237" s="569"/>
      <c r="S237" s="570"/>
      <c r="T237" s="127"/>
      <c r="U237" s="127"/>
      <c r="V237" s="127"/>
      <c r="W237" s="127"/>
      <c r="X237" s="127"/>
      <c r="Y237" s="127"/>
    </row>
    <row r="238" spans="2:25" s="565" customFormat="1">
      <c r="B238" s="566"/>
      <c r="C238" s="566"/>
      <c r="D238" s="566"/>
      <c r="E238" s="566"/>
      <c r="G238" s="569"/>
      <c r="H238" s="569"/>
      <c r="I238" s="569"/>
      <c r="J238" s="569"/>
      <c r="K238" s="569"/>
      <c r="L238" s="569"/>
      <c r="M238" s="569"/>
      <c r="N238" s="569"/>
      <c r="O238" s="569"/>
      <c r="P238" s="569"/>
      <c r="Q238" s="569"/>
      <c r="R238" s="569"/>
      <c r="S238" s="570"/>
      <c r="T238" s="127"/>
      <c r="U238" s="127"/>
      <c r="V238" s="127"/>
      <c r="W238" s="127"/>
      <c r="X238" s="127"/>
      <c r="Y238" s="127"/>
    </row>
    <row r="239" spans="2:25" s="565" customFormat="1">
      <c r="B239" s="566"/>
      <c r="C239" s="566"/>
      <c r="D239" s="566"/>
      <c r="E239" s="566"/>
      <c r="G239" s="569"/>
      <c r="H239" s="569"/>
      <c r="I239" s="569"/>
      <c r="J239" s="569"/>
      <c r="K239" s="569"/>
      <c r="L239" s="569"/>
      <c r="M239" s="569"/>
      <c r="N239" s="569"/>
      <c r="O239" s="569"/>
      <c r="P239" s="569"/>
      <c r="Q239" s="569"/>
      <c r="R239" s="569"/>
      <c r="S239" s="570"/>
      <c r="T239" s="127"/>
      <c r="U239" s="127"/>
      <c r="V239" s="127"/>
      <c r="W239" s="127"/>
      <c r="X239" s="127"/>
      <c r="Y239" s="127"/>
    </row>
    <row r="240" spans="2:25" s="565" customFormat="1">
      <c r="B240" s="566"/>
      <c r="C240" s="566"/>
      <c r="D240" s="566"/>
      <c r="E240" s="566"/>
      <c r="G240" s="569"/>
      <c r="H240" s="569"/>
      <c r="I240" s="569"/>
      <c r="J240" s="569"/>
      <c r="K240" s="569"/>
      <c r="L240" s="569"/>
      <c r="M240" s="569"/>
      <c r="N240" s="569"/>
      <c r="O240" s="569"/>
      <c r="P240" s="569"/>
      <c r="Q240" s="569"/>
      <c r="R240" s="569"/>
      <c r="S240" s="570"/>
      <c r="T240" s="127"/>
      <c r="U240" s="127"/>
      <c r="V240" s="127"/>
      <c r="W240" s="127"/>
      <c r="X240" s="127"/>
      <c r="Y240" s="127"/>
    </row>
    <row r="241" spans="2:25" s="565" customFormat="1">
      <c r="B241" s="566"/>
      <c r="C241" s="566"/>
      <c r="D241" s="566"/>
      <c r="E241" s="566"/>
      <c r="G241" s="569"/>
      <c r="H241" s="569"/>
      <c r="I241" s="569"/>
      <c r="J241" s="569"/>
      <c r="K241" s="569"/>
      <c r="L241" s="569"/>
      <c r="M241" s="569"/>
      <c r="N241" s="569"/>
      <c r="O241" s="569"/>
      <c r="P241" s="569"/>
      <c r="Q241" s="569"/>
      <c r="R241" s="569"/>
      <c r="S241" s="570"/>
      <c r="T241" s="127"/>
      <c r="U241" s="127"/>
      <c r="V241" s="127"/>
      <c r="W241" s="127"/>
      <c r="X241" s="127"/>
      <c r="Y241" s="127"/>
    </row>
    <row r="242" spans="2:25" s="565" customFormat="1">
      <c r="B242" s="566"/>
      <c r="C242" s="566"/>
      <c r="D242" s="566"/>
      <c r="E242" s="566"/>
      <c r="G242" s="569"/>
      <c r="H242" s="569"/>
      <c r="I242" s="569"/>
      <c r="J242" s="569"/>
      <c r="K242" s="569"/>
      <c r="L242" s="569"/>
      <c r="M242" s="569"/>
      <c r="N242" s="569"/>
      <c r="O242" s="569"/>
      <c r="P242" s="569"/>
      <c r="Q242" s="569"/>
      <c r="R242" s="569"/>
      <c r="S242" s="570"/>
      <c r="T242" s="127"/>
      <c r="U242" s="127"/>
      <c r="V242" s="127"/>
      <c r="W242" s="127"/>
      <c r="X242" s="127"/>
      <c r="Y242" s="127"/>
    </row>
    <row r="243" spans="2:25" s="565" customFormat="1">
      <c r="B243" s="566"/>
      <c r="C243" s="566"/>
      <c r="D243" s="566"/>
      <c r="E243" s="566"/>
      <c r="G243" s="569"/>
      <c r="H243" s="569"/>
      <c r="I243" s="569"/>
      <c r="J243" s="569"/>
      <c r="K243" s="569"/>
      <c r="L243" s="569"/>
      <c r="M243" s="569"/>
      <c r="N243" s="569"/>
      <c r="O243" s="569"/>
      <c r="P243" s="569"/>
      <c r="Q243" s="569"/>
      <c r="R243" s="569"/>
      <c r="S243" s="570"/>
      <c r="T243" s="127"/>
      <c r="U243" s="127"/>
      <c r="V243" s="127"/>
      <c r="W243" s="127"/>
      <c r="X243" s="127"/>
      <c r="Y243" s="127"/>
    </row>
    <row r="244" spans="2:25" s="565" customFormat="1">
      <c r="B244" s="566"/>
      <c r="C244" s="566"/>
      <c r="D244" s="566"/>
      <c r="E244" s="566"/>
      <c r="G244" s="569"/>
      <c r="H244" s="569"/>
      <c r="I244" s="569"/>
      <c r="J244" s="569"/>
      <c r="K244" s="569"/>
      <c r="L244" s="569"/>
      <c r="M244" s="569"/>
      <c r="N244" s="569"/>
      <c r="O244" s="569"/>
      <c r="P244" s="569"/>
      <c r="Q244" s="569"/>
      <c r="R244" s="569"/>
      <c r="S244" s="570"/>
      <c r="T244" s="127"/>
      <c r="U244" s="127"/>
      <c r="V244" s="127"/>
      <c r="W244" s="127"/>
      <c r="X244" s="127"/>
      <c r="Y244" s="127"/>
    </row>
    <row r="245" spans="2:25" s="565" customFormat="1">
      <c r="B245" s="566"/>
      <c r="C245" s="566"/>
      <c r="D245" s="566"/>
      <c r="E245" s="566"/>
      <c r="G245" s="569"/>
      <c r="H245" s="569"/>
      <c r="I245" s="569"/>
      <c r="J245" s="569"/>
      <c r="K245" s="569"/>
      <c r="L245" s="569"/>
      <c r="M245" s="569"/>
      <c r="N245" s="569"/>
      <c r="O245" s="569"/>
      <c r="P245" s="569"/>
      <c r="Q245" s="569"/>
      <c r="R245" s="569"/>
      <c r="S245" s="570"/>
      <c r="T245" s="127"/>
      <c r="U245" s="127"/>
      <c r="V245" s="127"/>
      <c r="W245" s="127"/>
      <c r="X245" s="127"/>
      <c r="Y245" s="127"/>
    </row>
    <row r="246" spans="2:25" s="565" customFormat="1">
      <c r="B246" s="566"/>
      <c r="C246" s="566"/>
      <c r="D246" s="566"/>
      <c r="E246" s="566"/>
      <c r="G246" s="569"/>
      <c r="H246" s="569"/>
      <c r="I246" s="569"/>
      <c r="J246" s="569"/>
      <c r="K246" s="569"/>
      <c r="L246" s="569"/>
      <c r="M246" s="569"/>
      <c r="N246" s="569"/>
      <c r="O246" s="569"/>
      <c r="P246" s="569"/>
      <c r="Q246" s="569"/>
      <c r="R246" s="569"/>
      <c r="S246" s="570"/>
      <c r="T246" s="127"/>
      <c r="U246" s="127"/>
      <c r="V246" s="127"/>
      <c r="W246" s="127"/>
      <c r="X246" s="127"/>
      <c r="Y246" s="127"/>
    </row>
    <row r="247" spans="2:25" s="565" customFormat="1">
      <c r="B247" s="566"/>
      <c r="C247" s="566"/>
      <c r="D247" s="566"/>
      <c r="E247" s="566"/>
      <c r="G247" s="569"/>
      <c r="H247" s="569"/>
      <c r="I247" s="569"/>
      <c r="J247" s="569"/>
      <c r="K247" s="569"/>
      <c r="L247" s="569"/>
      <c r="M247" s="569"/>
      <c r="N247" s="569"/>
      <c r="O247" s="569"/>
      <c r="P247" s="569"/>
      <c r="Q247" s="569"/>
      <c r="R247" s="569"/>
      <c r="S247" s="570"/>
      <c r="T247" s="127"/>
      <c r="U247" s="127"/>
      <c r="V247" s="127"/>
      <c r="W247" s="127"/>
      <c r="X247" s="127"/>
      <c r="Y247" s="127"/>
    </row>
    <row r="248" spans="2:25" s="565" customFormat="1">
      <c r="B248" s="566"/>
      <c r="C248" s="566"/>
      <c r="D248" s="566"/>
      <c r="E248" s="566"/>
      <c r="G248" s="569"/>
      <c r="H248" s="569"/>
      <c r="I248" s="569"/>
      <c r="J248" s="569"/>
      <c r="K248" s="569"/>
      <c r="L248" s="569"/>
      <c r="M248" s="569"/>
      <c r="N248" s="569"/>
      <c r="O248" s="569"/>
      <c r="P248" s="569"/>
      <c r="Q248" s="569"/>
      <c r="R248" s="569"/>
      <c r="S248" s="570"/>
      <c r="T248" s="127"/>
      <c r="U248" s="127"/>
      <c r="V248" s="127"/>
      <c r="W248" s="127"/>
      <c r="X248" s="127"/>
      <c r="Y248" s="127"/>
    </row>
    <row r="249" spans="2:25" s="565" customFormat="1">
      <c r="B249" s="566"/>
      <c r="C249" s="566"/>
      <c r="D249" s="566"/>
      <c r="E249" s="566"/>
      <c r="G249" s="569"/>
      <c r="H249" s="569"/>
      <c r="I249" s="569"/>
      <c r="J249" s="569"/>
      <c r="K249" s="569"/>
      <c r="L249" s="569"/>
      <c r="M249" s="569"/>
      <c r="N249" s="569"/>
      <c r="O249" s="569"/>
      <c r="P249" s="569"/>
      <c r="Q249" s="569"/>
      <c r="R249" s="569"/>
      <c r="S249" s="570"/>
      <c r="T249" s="127"/>
      <c r="U249" s="127"/>
      <c r="V249" s="127"/>
      <c r="W249" s="127"/>
      <c r="X249" s="127"/>
      <c r="Y249" s="127"/>
    </row>
    <row r="250" spans="2:25" s="565" customFormat="1">
      <c r="B250" s="566"/>
      <c r="C250" s="566"/>
      <c r="D250" s="566"/>
      <c r="E250" s="566"/>
      <c r="G250" s="569"/>
      <c r="H250" s="569"/>
      <c r="I250" s="569"/>
      <c r="J250" s="569"/>
      <c r="K250" s="569"/>
      <c r="L250" s="569"/>
      <c r="M250" s="569"/>
      <c r="N250" s="569"/>
      <c r="O250" s="569"/>
      <c r="P250" s="569"/>
      <c r="Q250" s="569"/>
      <c r="R250" s="569"/>
      <c r="S250" s="570"/>
      <c r="T250" s="127"/>
      <c r="U250" s="127"/>
      <c r="V250" s="127"/>
      <c r="W250" s="127"/>
      <c r="X250" s="127"/>
      <c r="Y250" s="127"/>
    </row>
    <row r="251" spans="2:25" s="565" customFormat="1">
      <c r="B251" s="566"/>
      <c r="C251" s="566"/>
      <c r="D251" s="566"/>
      <c r="E251" s="566"/>
      <c r="G251" s="569"/>
      <c r="H251" s="569"/>
      <c r="I251" s="569"/>
      <c r="J251" s="569"/>
      <c r="K251" s="569"/>
      <c r="L251" s="569"/>
      <c r="M251" s="569"/>
      <c r="N251" s="569"/>
      <c r="O251" s="569"/>
      <c r="P251" s="569"/>
      <c r="Q251" s="569"/>
      <c r="R251" s="569"/>
      <c r="S251" s="570"/>
      <c r="T251" s="127"/>
      <c r="U251" s="127"/>
      <c r="V251" s="127"/>
      <c r="W251" s="127"/>
      <c r="X251" s="127"/>
      <c r="Y251" s="127"/>
    </row>
    <row r="252" spans="2:25" s="565" customFormat="1">
      <c r="B252" s="566"/>
      <c r="C252" s="566"/>
      <c r="D252" s="566"/>
      <c r="E252" s="566"/>
      <c r="G252" s="569"/>
      <c r="H252" s="569"/>
      <c r="I252" s="569"/>
      <c r="J252" s="569"/>
      <c r="K252" s="569"/>
      <c r="L252" s="569"/>
      <c r="M252" s="569"/>
      <c r="N252" s="569"/>
      <c r="O252" s="569"/>
      <c r="P252" s="569"/>
      <c r="Q252" s="569"/>
      <c r="R252" s="569"/>
      <c r="S252" s="570"/>
      <c r="T252" s="127"/>
      <c r="U252" s="127"/>
      <c r="V252" s="127"/>
      <c r="W252" s="127"/>
      <c r="X252" s="127"/>
      <c r="Y252" s="127"/>
    </row>
    <row r="253" spans="2:25" s="565" customFormat="1">
      <c r="B253" s="566"/>
      <c r="C253" s="566"/>
      <c r="D253" s="566"/>
      <c r="E253" s="566"/>
      <c r="G253" s="569"/>
      <c r="H253" s="569"/>
      <c r="I253" s="569"/>
      <c r="J253" s="569"/>
      <c r="K253" s="569"/>
      <c r="L253" s="569"/>
      <c r="M253" s="569"/>
      <c r="N253" s="569"/>
      <c r="O253" s="569"/>
      <c r="P253" s="569"/>
      <c r="Q253" s="569"/>
      <c r="R253" s="569"/>
      <c r="S253" s="570"/>
      <c r="T253" s="127"/>
      <c r="U253" s="127"/>
      <c r="V253" s="127"/>
      <c r="W253" s="127"/>
      <c r="X253" s="127"/>
      <c r="Y253" s="127"/>
    </row>
    <row r="254" spans="2:25" s="565" customFormat="1">
      <c r="B254" s="566"/>
      <c r="C254" s="566"/>
      <c r="D254" s="566"/>
      <c r="E254" s="566"/>
      <c r="G254" s="569"/>
      <c r="H254" s="569"/>
      <c r="I254" s="569"/>
      <c r="J254" s="569"/>
      <c r="K254" s="569"/>
      <c r="L254" s="569"/>
      <c r="M254" s="569"/>
      <c r="N254" s="569"/>
      <c r="O254" s="569"/>
      <c r="P254" s="569"/>
      <c r="Q254" s="569"/>
      <c r="R254" s="569"/>
      <c r="S254" s="570"/>
      <c r="T254" s="127"/>
      <c r="U254" s="127"/>
      <c r="V254" s="127"/>
      <c r="W254" s="127"/>
      <c r="X254" s="127"/>
      <c r="Y254" s="127"/>
    </row>
    <row r="255" spans="2:25" s="565" customFormat="1">
      <c r="B255" s="566"/>
      <c r="C255" s="566"/>
      <c r="D255" s="566"/>
      <c r="E255" s="566"/>
      <c r="G255" s="569"/>
      <c r="H255" s="569"/>
      <c r="I255" s="569"/>
      <c r="J255" s="569"/>
      <c r="K255" s="569"/>
      <c r="L255" s="569"/>
      <c r="M255" s="569"/>
      <c r="N255" s="569"/>
      <c r="O255" s="569"/>
      <c r="P255" s="569"/>
      <c r="Q255" s="569"/>
      <c r="R255" s="569"/>
      <c r="S255" s="570"/>
      <c r="T255" s="127"/>
      <c r="U255" s="127"/>
      <c r="V255" s="127"/>
      <c r="W255" s="127"/>
      <c r="X255" s="127"/>
      <c r="Y255" s="127"/>
    </row>
    <row r="256" spans="2:25" s="565" customFormat="1">
      <c r="B256" s="566"/>
      <c r="C256" s="566"/>
      <c r="D256" s="566"/>
      <c r="E256" s="566"/>
      <c r="G256" s="569"/>
      <c r="H256" s="569"/>
      <c r="I256" s="569"/>
      <c r="J256" s="569"/>
      <c r="K256" s="569"/>
      <c r="L256" s="569"/>
      <c r="M256" s="569"/>
      <c r="N256" s="569"/>
      <c r="O256" s="569"/>
      <c r="P256" s="569"/>
      <c r="Q256" s="569"/>
      <c r="R256" s="569"/>
      <c r="S256" s="570"/>
      <c r="T256" s="127"/>
      <c r="U256" s="127"/>
      <c r="V256" s="127"/>
      <c r="W256" s="127"/>
      <c r="X256" s="127"/>
      <c r="Y256" s="127"/>
    </row>
    <row r="257" spans="2:25" s="565" customFormat="1">
      <c r="B257" s="566"/>
      <c r="C257" s="566"/>
      <c r="D257" s="566"/>
      <c r="E257" s="566"/>
      <c r="G257" s="569"/>
      <c r="H257" s="569"/>
      <c r="I257" s="569"/>
      <c r="J257" s="569"/>
      <c r="K257" s="569"/>
      <c r="L257" s="569"/>
      <c r="M257" s="569"/>
      <c r="N257" s="569"/>
      <c r="O257" s="569"/>
      <c r="P257" s="569"/>
      <c r="Q257" s="569"/>
      <c r="R257" s="569"/>
      <c r="S257" s="570"/>
      <c r="T257" s="127"/>
      <c r="U257" s="127"/>
      <c r="V257" s="127"/>
      <c r="W257" s="127"/>
      <c r="X257" s="127"/>
      <c r="Y257" s="127"/>
    </row>
    <row r="258" spans="2:25" s="565" customFormat="1">
      <c r="B258" s="566"/>
      <c r="C258" s="566"/>
      <c r="D258" s="566"/>
      <c r="E258" s="566"/>
      <c r="G258" s="569"/>
      <c r="H258" s="569"/>
      <c r="I258" s="569"/>
      <c r="J258" s="569"/>
      <c r="K258" s="569"/>
      <c r="L258" s="569"/>
      <c r="M258" s="569"/>
      <c r="N258" s="569"/>
      <c r="O258" s="569"/>
      <c r="P258" s="569"/>
      <c r="Q258" s="569"/>
      <c r="R258" s="569"/>
      <c r="S258" s="570"/>
      <c r="T258" s="127"/>
      <c r="U258" s="127"/>
      <c r="V258" s="127"/>
      <c r="W258" s="127"/>
      <c r="X258" s="127"/>
      <c r="Y258" s="127"/>
    </row>
    <row r="259" spans="2:25" s="565" customFormat="1">
      <c r="B259" s="566"/>
      <c r="C259" s="566"/>
      <c r="D259" s="566"/>
      <c r="E259" s="566"/>
      <c r="G259" s="569"/>
      <c r="H259" s="569"/>
      <c r="I259" s="569"/>
      <c r="J259" s="569"/>
      <c r="K259" s="569"/>
      <c r="L259" s="569"/>
      <c r="M259" s="569"/>
      <c r="N259" s="569"/>
      <c r="O259" s="569"/>
      <c r="P259" s="569"/>
      <c r="Q259" s="569"/>
      <c r="R259" s="569"/>
      <c r="S259" s="570"/>
      <c r="T259" s="127"/>
      <c r="U259" s="127"/>
      <c r="V259" s="127"/>
      <c r="W259" s="127"/>
      <c r="X259" s="127"/>
      <c r="Y259" s="127"/>
    </row>
    <row r="260" spans="2:25" s="565" customFormat="1">
      <c r="B260" s="566"/>
      <c r="C260" s="566"/>
      <c r="D260" s="566"/>
      <c r="E260" s="566"/>
      <c r="G260" s="569"/>
      <c r="H260" s="569"/>
      <c r="I260" s="569"/>
      <c r="J260" s="569"/>
      <c r="K260" s="569"/>
      <c r="L260" s="569"/>
      <c r="M260" s="569"/>
      <c r="N260" s="569"/>
      <c r="O260" s="569"/>
      <c r="P260" s="569"/>
      <c r="Q260" s="569"/>
      <c r="R260" s="569"/>
      <c r="S260" s="570"/>
      <c r="T260" s="127"/>
      <c r="U260" s="127"/>
      <c r="V260" s="127"/>
      <c r="W260" s="127"/>
      <c r="X260" s="127"/>
      <c r="Y260" s="127"/>
    </row>
    <row r="261" spans="2:25" s="565" customFormat="1">
      <c r="B261" s="566"/>
      <c r="C261" s="566"/>
      <c r="D261" s="566"/>
      <c r="E261" s="566"/>
      <c r="G261" s="569"/>
      <c r="H261" s="569"/>
      <c r="I261" s="569"/>
      <c r="J261" s="569"/>
      <c r="K261" s="569"/>
      <c r="L261" s="569"/>
      <c r="M261" s="569"/>
      <c r="N261" s="569"/>
      <c r="O261" s="569"/>
      <c r="P261" s="569"/>
      <c r="Q261" s="569"/>
      <c r="R261" s="569"/>
      <c r="S261" s="570"/>
      <c r="T261" s="127"/>
      <c r="U261" s="127"/>
      <c r="V261" s="127"/>
      <c r="W261" s="127"/>
      <c r="X261" s="127"/>
      <c r="Y261" s="127"/>
    </row>
    <row r="262" spans="2:25" s="565" customFormat="1">
      <c r="B262" s="566"/>
      <c r="C262" s="566"/>
      <c r="D262" s="566"/>
      <c r="E262" s="566"/>
      <c r="G262" s="569"/>
      <c r="H262" s="569"/>
      <c r="I262" s="569"/>
      <c r="J262" s="569"/>
      <c r="K262" s="569"/>
      <c r="L262" s="569"/>
      <c r="M262" s="569"/>
      <c r="N262" s="569"/>
      <c r="O262" s="569"/>
      <c r="P262" s="569"/>
      <c r="Q262" s="569"/>
      <c r="R262" s="569"/>
      <c r="S262" s="570"/>
      <c r="T262" s="127"/>
      <c r="U262" s="127"/>
      <c r="V262" s="127"/>
      <c r="W262" s="127"/>
      <c r="X262" s="127"/>
      <c r="Y262" s="127"/>
    </row>
    <row r="263" spans="2:25" s="565" customFormat="1">
      <c r="B263" s="566"/>
      <c r="C263" s="566"/>
      <c r="D263" s="566"/>
      <c r="E263" s="566"/>
      <c r="G263" s="569"/>
      <c r="H263" s="569"/>
      <c r="I263" s="569"/>
      <c r="J263" s="569"/>
      <c r="K263" s="569"/>
      <c r="L263" s="569"/>
      <c r="M263" s="569"/>
      <c r="N263" s="569"/>
      <c r="O263" s="569"/>
      <c r="P263" s="569"/>
      <c r="Q263" s="569"/>
      <c r="R263" s="569"/>
      <c r="S263" s="570"/>
      <c r="T263" s="127"/>
      <c r="U263" s="127"/>
      <c r="V263" s="127"/>
      <c r="W263" s="127"/>
      <c r="X263" s="127"/>
      <c r="Y263" s="127"/>
    </row>
    <row r="264" spans="2:25" s="565" customFormat="1">
      <c r="B264" s="566"/>
      <c r="C264" s="566"/>
      <c r="D264" s="566"/>
      <c r="E264" s="566"/>
      <c r="G264" s="569"/>
      <c r="H264" s="569"/>
      <c r="I264" s="569"/>
      <c r="J264" s="569"/>
      <c r="K264" s="569"/>
      <c r="L264" s="569"/>
      <c r="M264" s="569"/>
      <c r="N264" s="569"/>
      <c r="O264" s="569"/>
      <c r="P264" s="569"/>
      <c r="Q264" s="569"/>
      <c r="R264" s="569"/>
      <c r="S264" s="570"/>
      <c r="T264" s="127"/>
      <c r="U264" s="127"/>
      <c r="V264" s="127"/>
      <c r="W264" s="127"/>
      <c r="X264" s="127"/>
      <c r="Y264" s="127"/>
    </row>
    <row r="265" spans="2:25" s="565" customFormat="1">
      <c r="B265" s="566"/>
      <c r="C265" s="566"/>
      <c r="D265" s="566"/>
      <c r="E265" s="566"/>
      <c r="G265" s="569"/>
      <c r="H265" s="569"/>
      <c r="I265" s="569"/>
      <c r="J265" s="569"/>
      <c r="K265" s="569"/>
      <c r="L265" s="569"/>
      <c r="M265" s="569"/>
      <c r="N265" s="569"/>
      <c r="O265" s="569"/>
      <c r="P265" s="569"/>
      <c r="Q265" s="569"/>
      <c r="R265" s="569"/>
      <c r="S265" s="570"/>
      <c r="T265" s="127"/>
      <c r="U265" s="127"/>
      <c r="V265" s="127"/>
      <c r="W265" s="127"/>
      <c r="X265" s="127"/>
      <c r="Y265" s="127"/>
    </row>
    <row r="266" spans="2:25" s="565" customFormat="1">
      <c r="B266" s="566"/>
      <c r="C266" s="566"/>
      <c r="D266" s="566"/>
      <c r="E266" s="566"/>
      <c r="G266" s="569"/>
      <c r="H266" s="569"/>
      <c r="I266" s="569"/>
      <c r="J266" s="569"/>
      <c r="K266" s="569"/>
      <c r="L266" s="569"/>
      <c r="M266" s="569"/>
      <c r="N266" s="569"/>
      <c r="O266" s="569"/>
      <c r="P266" s="569"/>
      <c r="Q266" s="569"/>
      <c r="R266" s="569"/>
      <c r="S266" s="570"/>
      <c r="T266" s="127"/>
      <c r="U266" s="127"/>
      <c r="V266" s="127"/>
      <c r="W266" s="127"/>
      <c r="X266" s="127"/>
      <c r="Y266" s="127"/>
    </row>
    <row r="267" spans="2:25" s="565" customFormat="1">
      <c r="B267" s="566"/>
      <c r="C267" s="566"/>
      <c r="D267" s="566"/>
      <c r="E267" s="566"/>
      <c r="G267" s="569"/>
      <c r="H267" s="569"/>
      <c r="I267" s="569"/>
      <c r="J267" s="569"/>
      <c r="K267" s="569"/>
      <c r="L267" s="569"/>
      <c r="M267" s="569"/>
      <c r="N267" s="569"/>
      <c r="O267" s="569"/>
      <c r="P267" s="569"/>
      <c r="Q267" s="569"/>
      <c r="R267" s="569"/>
      <c r="S267" s="570"/>
      <c r="T267" s="127"/>
      <c r="U267" s="127"/>
      <c r="V267" s="127"/>
      <c r="W267" s="127"/>
      <c r="X267" s="127"/>
      <c r="Y267" s="127"/>
    </row>
    <row r="268" spans="2:25" s="565" customFormat="1">
      <c r="B268" s="566"/>
      <c r="C268" s="566"/>
      <c r="D268" s="566"/>
      <c r="E268" s="566"/>
      <c r="G268" s="569"/>
      <c r="H268" s="569"/>
      <c r="I268" s="569"/>
      <c r="J268" s="569"/>
      <c r="K268" s="569"/>
      <c r="L268" s="569"/>
      <c r="M268" s="569"/>
      <c r="N268" s="569"/>
      <c r="O268" s="569"/>
      <c r="P268" s="569"/>
      <c r="Q268" s="569"/>
      <c r="R268" s="569"/>
      <c r="S268" s="570"/>
      <c r="T268" s="127"/>
      <c r="U268" s="127"/>
      <c r="V268" s="127"/>
      <c r="W268" s="127"/>
      <c r="X268" s="127"/>
      <c r="Y268" s="127"/>
    </row>
    <row r="269" spans="2:25" s="565" customFormat="1">
      <c r="B269" s="566"/>
      <c r="C269" s="566"/>
      <c r="D269" s="566"/>
      <c r="E269" s="566"/>
      <c r="G269" s="569"/>
      <c r="H269" s="569"/>
      <c r="I269" s="569"/>
      <c r="J269" s="569"/>
      <c r="K269" s="569"/>
      <c r="L269" s="569"/>
      <c r="M269" s="569"/>
      <c r="N269" s="569"/>
      <c r="O269" s="569"/>
      <c r="P269" s="569"/>
      <c r="Q269" s="569"/>
      <c r="R269" s="569"/>
      <c r="S269" s="570"/>
      <c r="T269" s="127"/>
      <c r="U269" s="127"/>
      <c r="V269" s="127"/>
      <c r="W269" s="127"/>
      <c r="X269" s="127"/>
      <c r="Y269" s="127"/>
    </row>
    <row r="270" spans="2:25" s="565" customFormat="1">
      <c r="B270" s="566"/>
      <c r="C270" s="566"/>
      <c r="D270" s="566"/>
      <c r="E270" s="566"/>
      <c r="G270" s="569"/>
      <c r="H270" s="569"/>
      <c r="I270" s="569"/>
      <c r="J270" s="569"/>
      <c r="K270" s="569"/>
      <c r="L270" s="569"/>
      <c r="M270" s="569"/>
      <c r="N270" s="569"/>
      <c r="O270" s="569"/>
      <c r="P270" s="569"/>
      <c r="Q270" s="569"/>
      <c r="R270" s="569"/>
      <c r="S270" s="570"/>
      <c r="T270" s="127"/>
      <c r="U270" s="127"/>
      <c r="V270" s="127"/>
      <c r="W270" s="127"/>
      <c r="X270" s="127"/>
      <c r="Y270" s="127"/>
    </row>
    <row r="271" spans="2:25" s="565" customFormat="1">
      <c r="B271" s="566"/>
      <c r="C271" s="566"/>
      <c r="D271" s="566"/>
      <c r="E271" s="566"/>
      <c r="G271" s="569"/>
      <c r="H271" s="569"/>
      <c r="I271" s="569"/>
      <c r="J271" s="569"/>
      <c r="K271" s="569"/>
      <c r="L271" s="569"/>
      <c r="M271" s="569"/>
      <c r="N271" s="569"/>
      <c r="O271" s="569"/>
      <c r="P271" s="569"/>
      <c r="Q271" s="569"/>
      <c r="R271" s="569"/>
      <c r="S271" s="570"/>
      <c r="T271" s="127"/>
      <c r="U271" s="127"/>
      <c r="V271" s="127"/>
      <c r="W271" s="127"/>
      <c r="X271" s="127"/>
      <c r="Y271" s="127"/>
    </row>
    <row r="272" spans="2:25" s="565" customFormat="1">
      <c r="B272" s="566"/>
      <c r="C272" s="566"/>
      <c r="D272" s="566"/>
      <c r="E272" s="566"/>
      <c r="G272" s="569"/>
      <c r="H272" s="569"/>
      <c r="I272" s="569"/>
      <c r="J272" s="569"/>
      <c r="K272" s="569"/>
      <c r="L272" s="569"/>
      <c r="M272" s="569"/>
      <c r="N272" s="569"/>
      <c r="O272" s="569"/>
      <c r="P272" s="569"/>
      <c r="Q272" s="569"/>
      <c r="R272" s="569"/>
      <c r="S272" s="570"/>
      <c r="T272" s="127"/>
      <c r="U272" s="127"/>
      <c r="V272" s="127"/>
      <c r="W272" s="127"/>
      <c r="X272" s="127"/>
      <c r="Y272" s="127"/>
    </row>
    <row r="273" spans="2:25" s="565" customFormat="1">
      <c r="B273" s="566"/>
      <c r="C273" s="566"/>
      <c r="D273" s="566"/>
      <c r="E273" s="566"/>
      <c r="G273" s="569"/>
      <c r="H273" s="569"/>
      <c r="I273" s="569"/>
      <c r="J273" s="569"/>
      <c r="K273" s="569"/>
      <c r="L273" s="569"/>
      <c r="M273" s="569"/>
      <c r="N273" s="569"/>
      <c r="O273" s="569"/>
      <c r="P273" s="569"/>
      <c r="Q273" s="569"/>
      <c r="R273" s="569"/>
      <c r="S273" s="570"/>
      <c r="T273" s="127"/>
      <c r="U273" s="127"/>
      <c r="V273" s="127"/>
      <c r="W273" s="127"/>
      <c r="X273" s="127"/>
      <c r="Y273" s="127"/>
    </row>
    <row r="274" spans="2:25" s="565" customFormat="1">
      <c r="B274" s="566"/>
      <c r="C274" s="566"/>
      <c r="D274" s="566"/>
      <c r="E274" s="566"/>
      <c r="G274" s="569"/>
      <c r="H274" s="569"/>
      <c r="I274" s="569"/>
      <c r="J274" s="569"/>
      <c r="K274" s="569"/>
      <c r="L274" s="569"/>
      <c r="M274" s="569"/>
      <c r="N274" s="569"/>
      <c r="O274" s="569"/>
      <c r="P274" s="569"/>
      <c r="Q274" s="569"/>
      <c r="R274" s="569"/>
      <c r="S274" s="570"/>
      <c r="T274" s="127"/>
      <c r="U274" s="127"/>
      <c r="V274" s="127"/>
      <c r="W274" s="127"/>
      <c r="X274" s="127"/>
      <c r="Y274" s="127"/>
    </row>
    <row r="275" spans="2:25" s="565" customFormat="1">
      <c r="B275" s="566"/>
      <c r="C275" s="566"/>
      <c r="D275" s="566"/>
      <c r="E275" s="566"/>
      <c r="G275" s="569"/>
      <c r="H275" s="569"/>
      <c r="I275" s="569"/>
      <c r="J275" s="569"/>
      <c r="K275" s="569"/>
      <c r="L275" s="569"/>
      <c r="M275" s="569"/>
      <c r="N275" s="569"/>
      <c r="O275" s="569"/>
      <c r="P275" s="569"/>
      <c r="Q275" s="569"/>
      <c r="R275" s="569"/>
      <c r="S275" s="570"/>
      <c r="T275" s="127"/>
      <c r="U275" s="127"/>
      <c r="V275" s="127"/>
      <c r="W275" s="127"/>
      <c r="X275" s="127"/>
      <c r="Y275" s="127"/>
    </row>
    <row r="276" spans="2:25" s="565" customFormat="1">
      <c r="B276" s="566"/>
      <c r="C276" s="566"/>
      <c r="D276" s="566"/>
      <c r="E276" s="566"/>
      <c r="G276" s="569"/>
      <c r="H276" s="569"/>
      <c r="I276" s="569"/>
      <c r="J276" s="569"/>
      <c r="K276" s="569"/>
      <c r="L276" s="569"/>
      <c r="M276" s="569"/>
      <c r="N276" s="569"/>
      <c r="O276" s="569"/>
      <c r="P276" s="569"/>
      <c r="Q276" s="569"/>
      <c r="R276" s="569"/>
      <c r="S276" s="570"/>
      <c r="T276" s="127"/>
      <c r="U276" s="127"/>
      <c r="V276" s="127"/>
      <c r="W276" s="127"/>
      <c r="X276" s="127"/>
      <c r="Y276" s="127"/>
    </row>
    <row r="277" spans="2:25" s="565" customFormat="1">
      <c r="B277" s="566"/>
      <c r="C277" s="566"/>
      <c r="D277" s="566"/>
      <c r="E277" s="566"/>
      <c r="G277" s="569"/>
      <c r="H277" s="569"/>
      <c r="I277" s="569"/>
      <c r="J277" s="569"/>
      <c r="K277" s="569"/>
      <c r="L277" s="569"/>
      <c r="M277" s="569"/>
      <c r="N277" s="569"/>
      <c r="O277" s="569"/>
      <c r="P277" s="569"/>
      <c r="Q277" s="569"/>
      <c r="R277" s="569"/>
      <c r="S277" s="570"/>
      <c r="T277" s="127"/>
      <c r="U277" s="127"/>
      <c r="V277" s="127"/>
      <c r="W277" s="127"/>
      <c r="X277" s="127"/>
      <c r="Y277" s="127"/>
    </row>
    <row r="278" spans="2:25" s="565" customFormat="1">
      <c r="B278" s="566"/>
      <c r="C278" s="566"/>
      <c r="D278" s="566"/>
      <c r="E278" s="566"/>
      <c r="G278" s="569"/>
      <c r="H278" s="569"/>
      <c r="I278" s="569"/>
      <c r="J278" s="569"/>
      <c r="K278" s="569"/>
      <c r="L278" s="569"/>
      <c r="M278" s="569"/>
      <c r="N278" s="569"/>
      <c r="O278" s="569"/>
      <c r="P278" s="569"/>
      <c r="Q278" s="569"/>
      <c r="R278" s="569"/>
      <c r="S278" s="570"/>
      <c r="T278" s="127"/>
      <c r="U278" s="127"/>
      <c r="V278" s="127"/>
      <c r="W278" s="127"/>
      <c r="X278" s="127"/>
      <c r="Y278" s="127"/>
    </row>
    <row r="279" spans="2:25" s="565" customFormat="1">
      <c r="B279" s="566"/>
      <c r="C279" s="566"/>
      <c r="D279" s="566"/>
      <c r="E279" s="566"/>
      <c r="G279" s="569"/>
      <c r="H279" s="569"/>
      <c r="I279" s="569"/>
      <c r="J279" s="569"/>
      <c r="K279" s="569"/>
      <c r="L279" s="569"/>
      <c r="M279" s="569"/>
      <c r="N279" s="569"/>
      <c r="O279" s="569"/>
      <c r="P279" s="569"/>
      <c r="Q279" s="569"/>
      <c r="R279" s="569"/>
      <c r="S279" s="570"/>
      <c r="T279" s="127"/>
      <c r="U279" s="127"/>
      <c r="V279" s="127"/>
      <c r="W279" s="127"/>
      <c r="X279" s="127"/>
      <c r="Y279" s="127"/>
    </row>
    <row r="280" spans="2:25" s="565" customFormat="1">
      <c r="B280" s="566"/>
      <c r="C280" s="566"/>
      <c r="D280" s="566"/>
      <c r="E280" s="566"/>
      <c r="G280" s="569"/>
      <c r="H280" s="569"/>
      <c r="I280" s="569"/>
      <c r="J280" s="569"/>
      <c r="K280" s="569"/>
      <c r="L280" s="569"/>
      <c r="M280" s="569"/>
      <c r="N280" s="569"/>
      <c r="O280" s="569"/>
      <c r="P280" s="569"/>
      <c r="Q280" s="569"/>
      <c r="R280" s="569"/>
      <c r="S280" s="570"/>
      <c r="T280" s="127"/>
      <c r="U280" s="127"/>
      <c r="V280" s="127"/>
      <c r="W280" s="127"/>
      <c r="X280" s="127"/>
      <c r="Y280" s="127"/>
    </row>
    <row r="281" spans="2:25" s="565" customFormat="1">
      <c r="B281" s="566"/>
      <c r="C281" s="566"/>
      <c r="D281" s="566"/>
      <c r="E281" s="566"/>
      <c r="G281" s="569"/>
      <c r="H281" s="569"/>
      <c r="I281" s="569"/>
      <c r="J281" s="569"/>
      <c r="K281" s="569"/>
      <c r="L281" s="569"/>
      <c r="M281" s="569"/>
      <c r="N281" s="569"/>
      <c r="O281" s="569"/>
      <c r="P281" s="569"/>
      <c r="Q281" s="569"/>
      <c r="R281" s="569"/>
      <c r="S281" s="570"/>
      <c r="T281" s="127"/>
      <c r="U281" s="127"/>
      <c r="V281" s="127"/>
      <c r="W281" s="127"/>
      <c r="X281" s="127"/>
      <c r="Y281" s="127"/>
    </row>
    <row r="282" spans="2:25" s="565" customFormat="1">
      <c r="B282" s="566"/>
      <c r="C282" s="566"/>
      <c r="D282" s="566"/>
      <c r="E282" s="566"/>
      <c r="G282" s="569"/>
      <c r="H282" s="569"/>
      <c r="I282" s="569"/>
      <c r="J282" s="569"/>
      <c r="K282" s="569"/>
      <c r="L282" s="569"/>
      <c r="M282" s="569"/>
      <c r="N282" s="569"/>
      <c r="O282" s="569"/>
      <c r="P282" s="569"/>
      <c r="Q282" s="569"/>
      <c r="R282" s="569"/>
      <c r="S282" s="570"/>
      <c r="T282" s="127"/>
      <c r="U282" s="127"/>
      <c r="V282" s="127"/>
      <c r="W282" s="127"/>
      <c r="X282" s="127"/>
      <c r="Y282" s="127"/>
    </row>
    <row r="283" spans="2:25" s="565" customFormat="1">
      <c r="B283" s="566"/>
      <c r="C283" s="566"/>
      <c r="D283" s="566"/>
      <c r="E283" s="566"/>
      <c r="G283" s="569"/>
      <c r="H283" s="569"/>
      <c r="I283" s="569"/>
      <c r="J283" s="569"/>
      <c r="K283" s="569"/>
      <c r="L283" s="569"/>
      <c r="M283" s="569"/>
      <c r="N283" s="569"/>
      <c r="O283" s="569"/>
      <c r="P283" s="569"/>
      <c r="Q283" s="569"/>
      <c r="R283" s="569"/>
      <c r="S283" s="570"/>
      <c r="T283" s="127"/>
      <c r="U283" s="127"/>
      <c r="V283" s="127"/>
      <c r="W283" s="127"/>
      <c r="X283" s="127"/>
      <c r="Y283" s="127"/>
    </row>
    <row r="284" spans="2:25" s="565" customFormat="1">
      <c r="B284" s="566"/>
      <c r="C284" s="566"/>
      <c r="D284" s="566"/>
      <c r="E284" s="566"/>
      <c r="G284" s="569"/>
      <c r="H284" s="569"/>
      <c r="I284" s="569"/>
      <c r="J284" s="569"/>
      <c r="K284" s="569"/>
      <c r="L284" s="569"/>
      <c r="M284" s="569"/>
      <c r="N284" s="569"/>
      <c r="O284" s="569"/>
      <c r="P284" s="569"/>
      <c r="Q284" s="569"/>
      <c r="R284" s="569"/>
      <c r="S284" s="570"/>
      <c r="T284" s="127"/>
      <c r="U284" s="127"/>
      <c r="V284" s="127"/>
      <c r="W284" s="127"/>
      <c r="X284" s="127"/>
      <c r="Y284" s="127"/>
    </row>
    <row r="285" spans="2:25" s="565" customFormat="1">
      <c r="B285" s="566"/>
      <c r="C285" s="566"/>
      <c r="D285" s="566"/>
      <c r="E285" s="566"/>
      <c r="G285" s="569"/>
      <c r="H285" s="569"/>
      <c r="I285" s="569"/>
      <c r="J285" s="569"/>
      <c r="K285" s="569"/>
      <c r="L285" s="569"/>
      <c r="M285" s="569"/>
      <c r="N285" s="569"/>
      <c r="O285" s="569"/>
      <c r="P285" s="569"/>
      <c r="Q285" s="569"/>
      <c r="R285" s="569"/>
      <c r="S285" s="570"/>
      <c r="T285" s="127"/>
      <c r="U285" s="127"/>
      <c r="V285" s="127"/>
      <c r="W285" s="127"/>
      <c r="X285" s="127"/>
      <c r="Y285" s="127"/>
    </row>
    <row r="286" spans="2:25" s="565" customFormat="1">
      <c r="B286" s="566"/>
      <c r="C286" s="566"/>
      <c r="D286" s="566"/>
      <c r="E286" s="566"/>
      <c r="G286" s="569"/>
      <c r="H286" s="569"/>
      <c r="I286" s="569"/>
      <c r="J286" s="569"/>
      <c r="K286" s="569"/>
      <c r="L286" s="569"/>
      <c r="M286" s="569"/>
      <c r="N286" s="569"/>
      <c r="O286" s="569"/>
      <c r="P286" s="569"/>
      <c r="Q286" s="569"/>
      <c r="R286" s="569"/>
      <c r="S286" s="570"/>
      <c r="T286" s="127"/>
      <c r="U286" s="127"/>
      <c r="V286" s="127"/>
      <c r="W286" s="127"/>
      <c r="X286" s="127"/>
      <c r="Y286" s="127"/>
    </row>
    <row r="287" spans="2:25" s="565" customFormat="1">
      <c r="B287" s="566"/>
      <c r="C287" s="566"/>
      <c r="D287" s="566"/>
      <c r="E287" s="566"/>
      <c r="G287" s="569"/>
      <c r="H287" s="569"/>
      <c r="I287" s="569"/>
      <c r="J287" s="569"/>
      <c r="K287" s="569"/>
      <c r="L287" s="569"/>
      <c r="M287" s="569"/>
      <c r="N287" s="569"/>
      <c r="O287" s="569"/>
      <c r="P287" s="569"/>
      <c r="Q287" s="569"/>
      <c r="R287" s="569"/>
      <c r="S287" s="570"/>
      <c r="T287" s="127"/>
      <c r="U287" s="127"/>
      <c r="V287" s="127"/>
      <c r="W287" s="127"/>
      <c r="X287" s="127"/>
      <c r="Y287" s="127"/>
    </row>
    <row r="288" spans="2:25" s="565" customFormat="1">
      <c r="B288" s="566"/>
      <c r="C288" s="566"/>
      <c r="D288" s="566"/>
      <c r="E288" s="566"/>
      <c r="G288" s="569"/>
      <c r="H288" s="569"/>
      <c r="I288" s="569"/>
      <c r="J288" s="569"/>
      <c r="K288" s="569"/>
      <c r="L288" s="569"/>
      <c r="M288" s="569"/>
      <c r="N288" s="569"/>
      <c r="O288" s="569"/>
      <c r="P288" s="569"/>
      <c r="Q288" s="569"/>
      <c r="R288" s="569"/>
      <c r="S288" s="570"/>
      <c r="T288" s="127"/>
      <c r="U288" s="127"/>
      <c r="V288" s="127"/>
      <c r="W288" s="127"/>
      <c r="X288" s="127"/>
      <c r="Y288" s="127"/>
    </row>
    <row r="289" spans="2:25" s="565" customFormat="1">
      <c r="B289" s="566"/>
      <c r="C289" s="566"/>
      <c r="D289" s="566"/>
      <c r="E289" s="566"/>
      <c r="G289" s="569"/>
      <c r="H289" s="569"/>
      <c r="I289" s="569"/>
      <c r="J289" s="569"/>
      <c r="K289" s="569"/>
      <c r="L289" s="569"/>
      <c r="M289" s="569"/>
      <c r="N289" s="569"/>
      <c r="O289" s="569"/>
      <c r="P289" s="569"/>
      <c r="Q289" s="569"/>
      <c r="R289" s="569"/>
      <c r="S289" s="570"/>
      <c r="T289" s="127"/>
      <c r="U289" s="127"/>
      <c r="V289" s="127"/>
      <c r="W289" s="127"/>
      <c r="X289" s="127"/>
      <c r="Y289" s="127"/>
    </row>
    <row r="290" spans="2:25" s="565" customFormat="1">
      <c r="B290" s="566"/>
      <c r="C290" s="566"/>
      <c r="D290" s="566"/>
      <c r="E290" s="566"/>
      <c r="G290" s="569"/>
      <c r="H290" s="569"/>
      <c r="I290" s="569"/>
      <c r="J290" s="569"/>
      <c r="K290" s="569"/>
      <c r="L290" s="569"/>
      <c r="M290" s="569"/>
      <c r="N290" s="569"/>
      <c r="O290" s="569"/>
      <c r="P290" s="569"/>
      <c r="Q290" s="569"/>
      <c r="R290" s="569"/>
      <c r="S290" s="570"/>
      <c r="T290" s="127"/>
      <c r="U290" s="127"/>
      <c r="V290" s="127"/>
      <c r="W290" s="127"/>
      <c r="X290" s="127"/>
      <c r="Y290" s="127"/>
    </row>
    <row r="291" spans="2:25" s="565" customFormat="1">
      <c r="B291" s="566"/>
      <c r="C291" s="566"/>
      <c r="D291" s="566"/>
      <c r="E291" s="566"/>
      <c r="G291" s="569"/>
      <c r="H291" s="569"/>
      <c r="I291" s="569"/>
      <c r="J291" s="569"/>
      <c r="K291" s="569"/>
      <c r="L291" s="569"/>
      <c r="M291" s="569"/>
      <c r="N291" s="569"/>
      <c r="O291" s="569"/>
      <c r="P291" s="569"/>
      <c r="Q291" s="569"/>
      <c r="R291" s="569"/>
      <c r="S291" s="570"/>
      <c r="T291" s="127"/>
      <c r="U291" s="127"/>
      <c r="V291" s="127"/>
      <c r="W291" s="127"/>
      <c r="X291" s="127"/>
      <c r="Y291" s="127"/>
    </row>
    <row r="292" spans="2:25" s="565" customFormat="1">
      <c r="B292" s="566"/>
      <c r="C292" s="566"/>
      <c r="D292" s="566"/>
      <c r="E292" s="566"/>
      <c r="G292" s="569"/>
      <c r="H292" s="569"/>
      <c r="I292" s="569"/>
      <c r="J292" s="569"/>
      <c r="K292" s="569"/>
      <c r="L292" s="569"/>
      <c r="M292" s="569"/>
      <c r="N292" s="569"/>
      <c r="O292" s="569"/>
      <c r="P292" s="569"/>
      <c r="Q292" s="569"/>
      <c r="R292" s="569"/>
      <c r="S292" s="570"/>
      <c r="T292" s="127"/>
      <c r="U292" s="127"/>
      <c r="V292" s="127"/>
      <c r="W292" s="127"/>
      <c r="X292" s="127"/>
      <c r="Y292" s="127"/>
    </row>
    <row r="293" spans="2:25" s="565" customFormat="1">
      <c r="B293" s="566"/>
      <c r="C293" s="566"/>
      <c r="D293" s="566"/>
      <c r="E293" s="566"/>
      <c r="G293" s="569"/>
      <c r="H293" s="569"/>
      <c r="I293" s="569"/>
      <c r="J293" s="569"/>
      <c r="K293" s="569"/>
      <c r="L293" s="569"/>
      <c r="M293" s="569"/>
      <c r="N293" s="569"/>
      <c r="O293" s="569"/>
      <c r="P293" s="569"/>
      <c r="Q293" s="569"/>
      <c r="R293" s="569"/>
      <c r="S293" s="570"/>
      <c r="T293" s="127"/>
      <c r="U293" s="127"/>
      <c r="V293" s="127"/>
      <c r="W293" s="127"/>
      <c r="X293" s="127"/>
      <c r="Y293" s="127"/>
    </row>
    <row r="294" spans="2:25" s="565" customFormat="1">
      <c r="B294" s="566"/>
      <c r="C294" s="566"/>
      <c r="D294" s="566"/>
      <c r="E294" s="566"/>
      <c r="G294" s="569"/>
      <c r="H294" s="569"/>
      <c r="I294" s="569"/>
      <c r="J294" s="569"/>
      <c r="K294" s="569"/>
      <c r="L294" s="569"/>
      <c r="M294" s="569"/>
      <c r="N294" s="569"/>
      <c r="O294" s="569"/>
      <c r="P294" s="569"/>
      <c r="Q294" s="569"/>
      <c r="R294" s="569"/>
      <c r="S294" s="570"/>
      <c r="T294" s="127"/>
      <c r="U294" s="127"/>
      <c r="V294" s="127"/>
      <c r="W294" s="127"/>
      <c r="X294" s="127"/>
      <c r="Y294" s="127"/>
    </row>
    <row r="295" spans="2:25" s="565" customFormat="1">
      <c r="B295" s="566"/>
      <c r="C295" s="566"/>
      <c r="D295" s="566"/>
      <c r="E295" s="566"/>
      <c r="G295" s="569"/>
      <c r="H295" s="569"/>
      <c r="I295" s="569"/>
      <c r="J295" s="569"/>
      <c r="K295" s="569"/>
      <c r="L295" s="569"/>
      <c r="M295" s="569"/>
      <c r="N295" s="569"/>
      <c r="O295" s="569"/>
      <c r="P295" s="569"/>
      <c r="Q295" s="569"/>
      <c r="R295" s="569"/>
      <c r="S295" s="570"/>
      <c r="T295" s="127"/>
      <c r="U295" s="127"/>
      <c r="V295" s="127"/>
      <c r="W295" s="127"/>
      <c r="X295" s="127"/>
      <c r="Y295" s="127"/>
    </row>
    <row r="296" spans="2:25" s="565" customFormat="1">
      <c r="B296" s="566"/>
      <c r="C296" s="566"/>
      <c r="D296" s="566"/>
      <c r="E296" s="566"/>
      <c r="G296" s="569"/>
      <c r="H296" s="569"/>
      <c r="I296" s="569"/>
      <c r="J296" s="569"/>
      <c r="K296" s="569"/>
      <c r="L296" s="569"/>
      <c r="M296" s="569"/>
      <c r="N296" s="569"/>
      <c r="O296" s="569"/>
      <c r="P296" s="569"/>
      <c r="Q296" s="569"/>
      <c r="R296" s="569"/>
      <c r="S296" s="570"/>
      <c r="T296" s="127"/>
      <c r="U296" s="127"/>
      <c r="V296" s="127"/>
      <c r="W296" s="127"/>
      <c r="X296" s="127"/>
      <c r="Y296" s="127"/>
    </row>
    <row r="297" spans="2:25" s="565" customFormat="1">
      <c r="B297" s="566"/>
      <c r="C297" s="566"/>
      <c r="D297" s="566"/>
      <c r="E297" s="566"/>
      <c r="G297" s="569"/>
      <c r="H297" s="569"/>
      <c r="I297" s="569"/>
      <c r="J297" s="569"/>
      <c r="K297" s="569"/>
      <c r="L297" s="569"/>
      <c r="M297" s="569"/>
      <c r="N297" s="569"/>
      <c r="O297" s="569"/>
      <c r="P297" s="569"/>
      <c r="Q297" s="569"/>
      <c r="R297" s="569"/>
      <c r="S297" s="570"/>
      <c r="T297" s="127"/>
      <c r="U297" s="127"/>
      <c r="V297" s="127"/>
      <c r="W297" s="127"/>
      <c r="X297" s="127"/>
      <c r="Y297" s="127"/>
    </row>
    <row r="298" spans="2:25" s="565" customFormat="1">
      <c r="B298" s="566"/>
      <c r="C298" s="566"/>
      <c r="D298" s="566"/>
      <c r="E298" s="566"/>
      <c r="G298" s="569"/>
      <c r="H298" s="569"/>
      <c r="I298" s="569"/>
      <c r="J298" s="569"/>
      <c r="K298" s="569"/>
      <c r="L298" s="569"/>
      <c r="M298" s="569"/>
      <c r="N298" s="569"/>
      <c r="O298" s="569"/>
      <c r="P298" s="569"/>
      <c r="Q298" s="569"/>
      <c r="R298" s="569"/>
      <c r="S298" s="570"/>
      <c r="T298" s="127"/>
      <c r="U298" s="127"/>
      <c r="V298" s="127"/>
      <c r="W298" s="127"/>
      <c r="X298" s="127"/>
      <c r="Y298" s="127"/>
    </row>
    <row r="299" spans="2:25" s="565" customFormat="1">
      <c r="B299" s="566"/>
      <c r="C299" s="566"/>
      <c r="D299" s="566"/>
      <c r="E299" s="566"/>
      <c r="G299" s="569"/>
      <c r="H299" s="569"/>
      <c r="I299" s="569"/>
      <c r="J299" s="569"/>
      <c r="K299" s="569"/>
      <c r="L299" s="569"/>
      <c r="M299" s="569"/>
      <c r="N299" s="569"/>
      <c r="O299" s="569"/>
      <c r="P299" s="569"/>
      <c r="Q299" s="569"/>
      <c r="R299" s="569"/>
      <c r="S299" s="570"/>
      <c r="T299" s="127"/>
      <c r="U299" s="127"/>
      <c r="V299" s="127"/>
      <c r="W299" s="127"/>
      <c r="X299" s="127"/>
      <c r="Y299" s="127"/>
    </row>
    <row r="300" spans="2:25" s="565" customFormat="1">
      <c r="B300" s="566"/>
      <c r="C300" s="566"/>
      <c r="D300" s="566"/>
      <c r="E300" s="566"/>
      <c r="G300" s="569"/>
      <c r="H300" s="569"/>
      <c r="I300" s="569"/>
      <c r="J300" s="569"/>
      <c r="K300" s="569"/>
      <c r="L300" s="569"/>
      <c r="M300" s="569"/>
      <c r="N300" s="569"/>
      <c r="O300" s="569"/>
      <c r="P300" s="569"/>
      <c r="Q300" s="569"/>
      <c r="R300" s="569"/>
      <c r="S300" s="570"/>
      <c r="T300" s="127"/>
      <c r="U300" s="127"/>
      <c r="V300" s="127"/>
      <c r="W300" s="127"/>
      <c r="X300" s="127"/>
      <c r="Y300" s="127"/>
    </row>
    <row r="301" spans="2:25" s="565" customFormat="1">
      <c r="B301" s="566"/>
      <c r="C301" s="566"/>
      <c r="D301" s="566"/>
      <c r="E301" s="566"/>
      <c r="G301" s="569"/>
      <c r="H301" s="569"/>
      <c r="I301" s="569"/>
      <c r="J301" s="569"/>
      <c r="K301" s="569"/>
      <c r="L301" s="569"/>
      <c r="M301" s="569"/>
      <c r="N301" s="569"/>
      <c r="O301" s="569"/>
      <c r="P301" s="569"/>
      <c r="Q301" s="569"/>
      <c r="R301" s="569"/>
      <c r="S301" s="570"/>
      <c r="T301" s="127"/>
      <c r="U301" s="127"/>
      <c r="V301" s="127"/>
      <c r="W301" s="127"/>
      <c r="X301" s="127"/>
      <c r="Y301" s="127"/>
    </row>
    <row r="302" spans="2:25" s="565" customFormat="1">
      <c r="B302" s="566"/>
      <c r="C302" s="566"/>
      <c r="D302" s="566"/>
      <c r="E302" s="566"/>
      <c r="G302" s="569"/>
      <c r="H302" s="569"/>
      <c r="I302" s="569"/>
      <c r="J302" s="569"/>
      <c r="K302" s="569"/>
      <c r="L302" s="569"/>
      <c r="M302" s="569"/>
      <c r="N302" s="569"/>
      <c r="O302" s="569"/>
      <c r="P302" s="569"/>
      <c r="Q302" s="569"/>
      <c r="R302" s="569"/>
      <c r="S302" s="570"/>
      <c r="T302" s="127"/>
      <c r="U302" s="127"/>
      <c r="V302" s="127"/>
      <c r="W302" s="127"/>
      <c r="X302" s="127"/>
      <c r="Y302" s="127"/>
    </row>
    <row r="303" spans="2:25" s="565" customFormat="1">
      <c r="B303" s="566"/>
      <c r="C303" s="566"/>
      <c r="D303" s="566"/>
      <c r="E303" s="566"/>
      <c r="G303" s="569"/>
      <c r="H303" s="569"/>
      <c r="I303" s="569"/>
      <c r="J303" s="569"/>
      <c r="K303" s="569"/>
      <c r="L303" s="569"/>
      <c r="M303" s="569"/>
      <c r="N303" s="569"/>
      <c r="O303" s="569"/>
      <c r="P303" s="569"/>
      <c r="Q303" s="569"/>
      <c r="R303" s="569"/>
      <c r="S303" s="570"/>
      <c r="T303" s="127"/>
      <c r="U303" s="127"/>
      <c r="V303" s="127"/>
      <c r="W303" s="127"/>
      <c r="X303" s="127"/>
      <c r="Y303" s="127"/>
    </row>
    <row r="304" spans="2:25" s="565" customFormat="1">
      <c r="B304" s="566"/>
      <c r="C304" s="566"/>
      <c r="D304" s="566"/>
      <c r="E304" s="566"/>
      <c r="G304" s="569"/>
      <c r="H304" s="569"/>
      <c r="I304" s="569"/>
      <c r="J304" s="569"/>
      <c r="K304" s="569"/>
      <c r="L304" s="569"/>
      <c r="M304" s="569"/>
      <c r="N304" s="569"/>
      <c r="O304" s="569"/>
      <c r="P304" s="569"/>
      <c r="Q304" s="569"/>
      <c r="R304" s="569"/>
      <c r="S304" s="570"/>
      <c r="T304" s="127"/>
      <c r="U304" s="127"/>
      <c r="V304" s="127"/>
      <c r="W304" s="127"/>
      <c r="X304" s="127"/>
      <c r="Y304" s="127"/>
    </row>
    <row r="305" spans="2:25" s="565" customFormat="1">
      <c r="B305" s="566"/>
      <c r="C305" s="566"/>
      <c r="D305" s="566"/>
      <c r="E305" s="566"/>
      <c r="G305" s="569"/>
      <c r="H305" s="569"/>
      <c r="I305" s="569"/>
      <c r="J305" s="569"/>
      <c r="K305" s="569"/>
      <c r="L305" s="569"/>
      <c r="M305" s="569"/>
      <c r="N305" s="569"/>
      <c r="O305" s="569"/>
      <c r="P305" s="569"/>
      <c r="Q305" s="569"/>
      <c r="R305" s="569"/>
      <c r="S305" s="570"/>
      <c r="T305" s="127"/>
      <c r="U305" s="127"/>
      <c r="V305" s="127"/>
      <c r="W305" s="127"/>
      <c r="X305" s="127"/>
      <c r="Y305" s="127"/>
    </row>
    <row r="306" spans="2:25" s="565" customFormat="1">
      <c r="B306" s="566"/>
      <c r="C306" s="566"/>
      <c r="D306" s="566"/>
      <c r="E306" s="566"/>
      <c r="G306" s="569"/>
      <c r="H306" s="569"/>
      <c r="I306" s="569"/>
      <c r="J306" s="569"/>
      <c r="K306" s="569"/>
      <c r="L306" s="569"/>
      <c r="M306" s="569"/>
      <c r="N306" s="569"/>
      <c r="O306" s="569"/>
      <c r="P306" s="569"/>
      <c r="Q306" s="569"/>
      <c r="R306" s="569"/>
      <c r="S306" s="570"/>
      <c r="T306" s="127"/>
      <c r="U306" s="127"/>
      <c r="V306" s="127"/>
      <c r="W306" s="127"/>
      <c r="X306" s="127"/>
      <c r="Y306" s="127"/>
    </row>
    <row r="307" spans="2:25" s="565" customFormat="1">
      <c r="B307" s="566"/>
      <c r="C307" s="566"/>
      <c r="D307" s="566"/>
      <c r="E307" s="566"/>
      <c r="G307" s="569"/>
      <c r="H307" s="569"/>
      <c r="I307" s="569"/>
      <c r="J307" s="569"/>
      <c r="K307" s="569"/>
      <c r="L307" s="569"/>
      <c r="M307" s="569"/>
      <c r="N307" s="569"/>
      <c r="O307" s="569"/>
      <c r="P307" s="569"/>
      <c r="Q307" s="569"/>
      <c r="R307" s="569"/>
      <c r="S307" s="570"/>
      <c r="T307" s="127"/>
      <c r="U307" s="127"/>
      <c r="V307" s="127"/>
      <c r="W307" s="127"/>
      <c r="X307" s="127"/>
      <c r="Y307" s="127"/>
    </row>
    <row r="308" spans="2:25" s="565" customFormat="1">
      <c r="B308" s="566"/>
      <c r="C308" s="566"/>
      <c r="D308" s="566"/>
      <c r="E308" s="566"/>
      <c r="G308" s="569"/>
      <c r="H308" s="569"/>
      <c r="I308" s="569"/>
      <c r="J308" s="569"/>
      <c r="K308" s="569"/>
      <c r="L308" s="569"/>
      <c r="M308" s="569"/>
      <c r="N308" s="569"/>
      <c r="O308" s="569"/>
      <c r="P308" s="569"/>
      <c r="Q308" s="569"/>
      <c r="R308" s="569"/>
      <c r="S308" s="570"/>
      <c r="T308" s="127"/>
      <c r="U308" s="127"/>
      <c r="V308" s="127"/>
      <c r="W308" s="127"/>
      <c r="X308" s="127"/>
      <c r="Y308" s="127"/>
    </row>
    <row r="309" spans="2:25" s="565" customFormat="1">
      <c r="B309" s="566"/>
      <c r="C309" s="566"/>
      <c r="D309" s="566"/>
      <c r="E309" s="566"/>
      <c r="G309" s="569"/>
      <c r="H309" s="569"/>
      <c r="I309" s="569"/>
      <c r="J309" s="569"/>
      <c r="K309" s="569"/>
      <c r="L309" s="569"/>
      <c r="M309" s="569"/>
      <c r="N309" s="569"/>
      <c r="O309" s="569"/>
      <c r="P309" s="569"/>
      <c r="Q309" s="569"/>
      <c r="R309" s="569"/>
      <c r="S309" s="570"/>
      <c r="T309" s="127"/>
      <c r="U309" s="127"/>
      <c r="V309" s="127"/>
      <c r="W309" s="127"/>
      <c r="X309" s="127"/>
      <c r="Y309" s="127"/>
    </row>
    <row r="310" spans="2:25" s="565" customFormat="1">
      <c r="B310" s="566"/>
      <c r="C310" s="566"/>
      <c r="D310" s="566"/>
      <c r="E310" s="566"/>
      <c r="G310" s="569"/>
      <c r="H310" s="569"/>
      <c r="I310" s="569"/>
      <c r="J310" s="569"/>
      <c r="K310" s="569"/>
      <c r="L310" s="569"/>
      <c r="M310" s="569"/>
      <c r="N310" s="569"/>
      <c r="O310" s="569"/>
      <c r="P310" s="569"/>
      <c r="Q310" s="569"/>
      <c r="R310" s="569"/>
      <c r="S310" s="570"/>
      <c r="T310" s="127"/>
      <c r="U310" s="127"/>
      <c r="V310" s="127"/>
      <c r="W310" s="127"/>
      <c r="X310" s="127"/>
      <c r="Y310" s="127"/>
    </row>
    <row r="311" spans="2:25" s="565" customFormat="1">
      <c r="B311" s="566"/>
      <c r="C311" s="566"/>
      <c r="D311" s="566"/>
      <c r="E311" s="566"/>
      <c r="G311" s="569"/>
      <c r="H311" s="569"/>
      <c r="I311" s="569"/>
      <c r="J311" s="569"/>
      <c r="K311" s="569"/>
      <c r="L311" s="569"/>
      <c r="M311" s="569"/>
      <c r="N311" s="569"/>
      <c r="O311" s="569"/>
      <c r="P311" s="569"/>
      <c r="Q311" s="569"/>
      <c r="R311" s="569"/>
      <c r="S311" s="570"/>
      <c r="T311" s="127"/>
      <c r="U311" s="127"/>
      <c r="V311" s="127"/>
      <c r="W311" s="127"/>
      <c r="X311" s="127"/>
      <c r="Y311" s="127"/>
    </row>
    <row r="312" spans="2:25" s="565" customFormat="1">
      <c r="B312" s="566"/>
      <c r="C312" s="566"/>
      <c r="D312" s="566"/>
      <c r="E312" s="566"/>
      <c r="G312" s="569"/>
      <c r="H312" s="569"/>
      <c r="I312" s="569"/>
      <c r="J312" s="569"/>
      <c r="K312" s="569"/>
      <c r="L312" s="569"/>
      <c r="M312" s="569"/>
      <c r="N312" s="569"/>
      <c r="O312" s="569"/>
      <c r="P312" s="569"/>
      <c r="Q312" s="569"/>
      <c r="R312" s="569"/>
      <c r="S312" s="570"/>
      <c r="T312" s="127"/>
      <c r="U312" s="127"/>
      <c r="V312" s="127"/>
      <c r="W312" s="127"/>
      <c r="X312" s="127"/>
      <c r="Y312" s="127"/>
    </row>
    <row r="313" spans="2:25" s="565" customFormat="1">
      <c r="B313" s="566"/>
      <c r="C313" s="566"/>
      <c r="D313" s="566"/>
      <c r="E313" s="566"/>
      <c r="G313" s="569"/>
      <c r="H313" s="569"/>
      <c r="I313" s="569"/>
      <c r="J313" s="569"/>
      <c r="K313" s="569"/>
      <c r="L313" s="569"/>
      <c r="M313" s="569"/>
      <c r="N313" s="569"/>
      <c r="O313" s="569"/>
      <c r="P313" s="569"/>
      <c r="Q313" s="569"/>
      <c r="R313" s="569"/>
      <c r="S313" s="570"/>
      <c r="T313" s="127"/>
      <c r="U313" s="127"/>
      <c r="V313" s="127"/>
      <c r="W313" s="127"/>
      <c r="X313" s="127"/>
      <c r="Y313" s="127"/>
    </row>
    <row r="314" spans="2:25" s="565" customFormat="1">
      <c r="B314" s="566"/>
      <c r="C314" s="566"/>
      <c r="D314" s="566"/>
      <c r="E314" s="566"/>
      <c r="G314" s="569"/>
      <c r="H314" s="569"/>
      <c r="I314" s="569"/>
      <c r="J314" s="569"/>
      <c r="K314" s="569"/>
      <c r="L314" s="569"/>
      <c r="M314" s="569"/>
      <c r="N314" s="569"/>
      <c r="O314" s="569"/>
      <c r="P314" s="569"/>
      <c r="Q314" s="569"/>
      <c r="R314" s="569"/>
      <c r="S314" s="570"/>
      <c r="T314" s="127"/>
      <c r="U314" s="127"/>
      <c r="V314" s="127"/>
      <c r="W314" s="127"/>
      <c r="X314" s="127"/>
      <c r="Y314" s="127"/>
    </row>
    <row r="315" spans="2:25" s="565" customFormat="1">
      <c r="B315" s="566"/>
      <c r="C315" s="566"/>
      <c r="D315" s="566"/>
      <c r="E315" s="566"/>
      <c r="G315" s="569"/>
      <c r="H315" s="569"/>
      <c r="I315" s="569"/>
      <c r="J315" s="569"/>
      <c r="K315" s="569"/>
      <c r="L315" s="569"/>
      <c r="M315" s="569"/>
      <c r="N315" s="569"/>
      <c r="O315" s="569"/>
      <c r="P315" s="569"/>
      <c r="Q315" s="569"/>
      <c r="R315" s="569"/>
      <c r="S315" s="570"/>
      <c r="T315" s="127"/>
      <c r="U315" s="127"/>
      <c r="V315" s="127"/>
      <c r="W315" s="127"/>
      <c r="X315" s="127"/>
      <c r="Y315" s="127"/>
    </row>
    <row r="316" spans="2:25" s="565" customFormat="1">
      <c r="B316" s="566"/>
      <c r="C316" s="566"/>
      <c r="D316" s="566"/>
      <c r="E316" s="566"/>
      <c r="G316" s="569"/>
      <c r="H316" s="569"/>
      <c r="I316" s="569"/>
      <c r="J316" s="569"/>
      <c r="K316" s="569"/>
      <c r="L316" s="569"/>
      <c r="M316" s="569"/>
      <c r="N316" s="569"/>
      <c r="O316" s="569"/>
      <c r="P316" s="569"/>
      <c r="Q316" s="569"/>
      <c r="R316" s="569"/>
      <c r="S316" s="570"/>
      <c r="T316" s="127"/>
      <c r="U316" s="127"/>
      <c r="V316" s="127"/>
      <c r="W316" s="127"/>
      <c r="X316" s="127"/>
      <c r="Y316" s="127"/>
    </row>
    <row r="317" spans="2:25" s="565" customFormat="1">
      <c r="B317" s="566"/>
      <c r="C317" s="566"/>
      <c r="D317" s="566"/>
      <c r="E317" s="566"/>
      <c r="G317" s="569"/>
      <c r="H317" s="569"/>
      <c r="I317" s="569"/>
      <c r="J317" s="569"/>
      <c r="K317" s="569"/>
      <c r="L317" s="569"/>
      <c r="M317" s="569"/>
      <c r="N317" s="569"/>
      <c r="O317" s="569"/>
      <c r="P317" s="569"/>
      <c r="Q317" s="569"/>
      <c r="R317" s="569"/>
      <c r="S317" s="570"/>
      <c r="T317" s="127"/>
      <c r="U317" s="127"/>
      <c r="V317" s="127"/>
      <c r="W317" s="127"/>
      <c r="X317" s="127"/>
      <c r="Y317" s="127"/>
    </row>
    <row r="318" spans="2:25" s="565" customFormat="1">
      <c r="B318" s="566"/>
      <c r="C318" s="566"/>
      <c r="D318" s="566"/>
      <c r="E318" s="566"/>
      <c r="G318" s="569"/>
      <c r="H318" s="569"/>
      <c r="I318" s="569"/>
      <c r="J318" s="569"/>
      <c r="K318" s="569"/>
      <c r="L318" s="569"/>
      <c r="M318" s="569"/>
      <c r="N318" s="569"/>
      <c r="O318" s="569"/>
      <c r="P318" s="569"/>
      <c r="Q318" s="569"/>
      <c r="R318" s="569"/>
      <c r="S318" s="570"/>
      <c r="T318" s="127"/>
      <c r="U318" s="127"/>
      <c r="V318" s="127"/>
      <c r="W318" s="127"/>
      <c r="X318" s="127"/>
      <c r="Y318" s="127"/>
    </row>
    <row r="319" spans="2:25" s="565" customFormat="1">
      <c r="B319" s="566"/>
      <c r="C319" s="566"/>
      <c r="D319" s="566"/>
      <c r="E319" s="566"/>
      <c r="G319" s="569"/>
      <c r="H319" s="569"/>
      <c r="I319" s="569"/>
      <c r="J319" s="569"/>
      <c r="K319" s="569"/>
      <c r="L319" s="569"/>
      <c r="M319" s="569"/>
      <c r="N319" s="569"/>
      <c r="O319" s="569"/>
      <c r="P319" s="569"/>
      <c r="Q319" s="569"/>
      <c r="R319" s="569"/>
      <c r="S319" s="570"/>
      <c r="T319" s="127"/>
      <c r="U319" s="127"/>
      <c r="V319" s="127"/>
      <c r="W319" s="127"/>
      <c r="X319" s="127"/>
      <c r="Y319" s="127"/>
    </row>
    <row r="320" spans="2:25" s="565" customFormat="1">
      <c r="B320" s="566"/>
      <c r="C320" s="566"/>
      <c r="D320" s="566"/>
      <c r="E320" s="566"/>
      <c r="G320" s="569"/>
      <c r="H320" s="569"/>
      <c r="I320" s="569"/>
      <c r="J320" s="569"/>
      <c r="K320" s="569"/>
      <c r="L320" s="569"/>
      <c r="M320" s="569"/>
      <c r="N320" s="569"/>
      <c r="O320" s="569"/>
      <c r="P320" s="569"/>
      <c r="Q320" s="569"/>
      <c r="R320" s="569"/>
      <c r="S320" s="570"/>
      <c r="T320" s="127"/>
      <c r="U320" s="127"/>
      <c r="V320" s="127"/>
      <c r="W320" s="127"/>
      <c r="X320" s="127"/>
      <c r="Y320" s="127"/>
    </row>
    <row r="321" spans="2:25" s="565" customFormat="1">
      <c r="B321" s="566"/>
      <c r="C321" s="566"/>
      <c r="D321" s="566"/>
      <c r="E321" s="566"/>
      <c r="G321" s="569"/>
      <c r="H321" s="569"/>
      <c r="I321" s="569"/>
      <c r="J321" s="569"/>
      <c r="K321" s="569"/>
      <c r="L321" s="569"/>
      <c r="M321" s="569"/>
      <c r="N321" s="569"/>
      <c r="O321" s="569"/>
      <c r="P321" s="569"/>
      <c r="Q321" s="569"/>
      <c r="R321" s="569"/>
      <c r="S321" s="570"/>
      <c r="T321" s="127"/>
      <c r="U321" s="127"/>
      <c r="V321" s="127"/>
      <c r="W321" s="127"/>
      <c r="X321" s="127"/>
      <c r="Y321" s="127"/>
    </row>
    <row r="322" spans="2:25" s="565" customFormat="1">
      <c r="B322" s="566"/>
      <c r="C322" s="566"/>
      <c r="D322" s="566"/>
      <c r="E322" s="566"/>
      <c r="G322" s="569"/>
      <c r="H322" s="569"/>
      <c r="I322" s="569"/>
      <c r="J322" s="569"/>
      <c r="K322" s="569"/>
      <c r="L322" s="569"/>
      <c r="M322" s="569"/>
      <c r="N322" s="569"/>
      <c r="O322" s="569"/>
      <c r="P322" s="569"/>
      <c r="Q322" s="569"/>
      <c r="R322" s="569"/>
      <c r="S322" s="570"/>
      <c r="T322" s="127"/>
      <c r="U322" s="127"/>
      <c r="V322" s="127"/>
      <c r="W322" s="127"/>
      <c r="X322" s="127"/>
      <c r="Y322" s="127"/>
    </row>
    <row r="323" spans="2:25" s="565" customFormat="1">
      <c r="B323" s="566"/>
      <c r="C323" s="566"/>
      <c r="D323" s="566"/>
      <c r="E323" s="566"/>
      <c r="G323" s="569"/>
      <c r="H323" s="569"/>
      <c r="I323" s="569"/>
      <c r="J323" s="569"/>
      <c r="K323" s="569"/>
      <c r="L323" s="569"/>
      <c r="M323" s="569"/>
      <c r="N323" s="569"/>
      <c r="O323" s="569"/>
      <c r="P323" s="569"/>
      <c r="Q323" s="569"/>
      <c r="R323" s="569"/>
      <c r="S323" s="570"/>
      <c r="T323" s="127"/>
      <c r="U323" s="127"/>
      <c r="V323" s="127"/>
      <c r="W323" s="127"/>
      <c r="X323" s="127"/>
      <c r="Y323" s="127"/>
    </row>
    <row r="324" spans="2:25" s="565" customFormat="1">
      <c r="B324" s="566"/>
      <c r="C324" s="566"/>
      <c r="D324" s="566"/>
      <c r="E324" s="566"/>
      <c r="G324" s="569"/>
      <c r="H324" s="569"/>
      <c r="I324" s="569"/>
      <c r="J324" s="569"/>
      <c r="K324" s="569"/>
      <c r="L324" s="569"/>
      <c r="M324" s="569"/>
      <c r="N324" s="569"/>
      <c r="O324" s="569"/>
      <c r="P324" s="569"/>
      <c r="Q324" s="569"/>
      <c r="R324" s="569"/>
      <c r="S324" s="570"/>
      <c r="T324" s="127"/>
      <c r="U324" s="127"/>
      <c r="V324" s="127"/>
      <c r="W324" s="127"/>
      <c r="X324" s="127"/>
      <c r="Y324" s="127"/>
    </row>
  </sheetData>
  <sheetProtection sheet="1" objects="1" scenarios="1" formatCells="0" formatColumns="0" formatRows="0"/>
  <mergeCells count="5">
    <mergeCell ref="C1:C3"/>
    <mergeCell ref="D1:D3"/>
    <mergeCell ref="E1:E3"/>
    <mergeCell ref="A3:A9"/>
    <mergeCell ref="C27:C29"/>
  </mergeCells>
  <dataValidations count="7">
    <dataValidation type="decimal" allowBlank="1" showInputMessage="1" showErrorMessage="1" sqref="O6">
      <formula1>1.017162</formula1>
      <formula2>1.04</formula2>
    </dataValidation>
    <dataValidation type="decimal" allowBlank="1" showInputMessage="1" showErrorMessage="1" sqref="G8">
      <formula1>0</formula1>
      <formula2>1.136</formula2>
    </dataValidation>
    <dataValidation type="whole" allowBlank="1" showInputMessage="1" showErrorMessage="1" sqref="G9">
      <formula1>0</formula1>
      <formula2>900</formula2>
    </dataValidation>
    <dataValidation type="whole" allowBlank="1" showInputMessage="1" showErrorMessage="1" sqref="G25">
      <formula1>0</formula1>
      <formula2>20</formula2>
    </dataValidation>
    <dataValidation type="decimal" allowBlank="1" showInputMessage="1" showErrorMessage="1" sqref="G22:R22">
      <formula1>0</formula1>
      <formula2>G21</formula2>
    </dataValidation>
    <dataValidation type="whole" allowBlank="1" showInputMessage="1" showErrorMessage="1" sqref="G26">
      <formula1>0</formula1>
      <formula2>60</formula2>
    </dataValidation>
    <dataValidation type="whole" allowBlank="1" showInputMessage="1" showErrorMessage="1" sqref="G27">
      <formula1>0</formula1>
      <formula2>20000</formula2>
    </dataValidation>
  </dataValidations>
  <pageMargins left="0.35000000000000003" right="0.35000000000000003" top="0.98" bottom="0.25" header="0.31" footer="0.31"/>
  <pageSetup paperSize="10" orientation="portrait" horizontalDpi="4294967292" verticalDpi="4294967292"/>
  <headerFooter>
    <oddHeader>&amp;C&amp;"Helvetica,Normal"&amp;14Lønberegning for &amp;A på XX Friskole</oddHeader>
    <oddFooter>&amp;LFriskolernes Kontor&amp;RUdskrevet den &amp;D kl. &amp;T</oddFooter>
  </headerFooter>
  <rowBreaks count="1" manualBreakCount="1">
    <brk id="43"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Grundlon12!$B$108:$B$134</xm:f>
          </x14:formula1>
          <xm:sqref>G5</xm:sqref>
        </x14:dataValidation>
        <x14:dataValidation type="list" allowBlank="1" showInputMessage="1" showErrorMessage="1">
          <x14:formula1>
            <xm:f>Grundlon12!$C$108:$C$109</xm:f>
          </x14:formula1>
          <xm:sqref>G10</xm:sqref>
        </x14:dataValidation>
        <x14:dataValidation type="list" allowBlank="1" showInputMessage="1" showErrorMessage="1">
          <x14:formula1>
            <xm:f>Grundlon12!$D$108:$D$109</xm:f>
          </x14:formula1>
          <xm:sqref>G19</xm:sqref>
        </x14:dataValidation>
        <x14:dataValidation type="list" allowBlank="1" showInputMessage="1" showErrorMessage="1">
          <x14:formula1>
            <xm:f>Grundlon12!$E$108:$E$109</xm:f>
          </x14:formula1>
          <xm:sqref>D20:E20 C39:C40 C11:E16</xm:sqref>
        </x14:dataValidation>
        <x14:dataValidation type="list" allowBlank="1" showInputMessage="1" showErrorMessage="1">
          <x14:formula1>
            <xm:f>Grundlon12!$F$108:$F$111</xm:f>
          </x14:formula1>
          <xm:sqref>G31:N31</xm:sqref>
        </x14:dataValidation>
        <x14:dataValidation type="list" allowBlank="1" showInputMessage="1" showErrorMessage="1">
          <x14:formula1>
            <xm:f>Grundlon12!A108:A115</xm:f>
          </x14:formula1>
          <xm:sqref>G4</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Regneark</vt:lpstr>
      </vt:variant>
      <vt:variant>
        <vt:i4>32</vt:i4>
      </vt:variant>
    </vt:vector>
  </HeadingPairs>
  <TitlesOfParts>
    <vt:vector size="32" baseType="lpstr">
      <vt:lpstr>Vejledning</vt:lpstr>
      <vt:lpstr>Nylønstillæg</vt:lpstr>
      <vt:lpstr>Trin4tillaeg</vt:lpstr>
      <vt:lpstr>LonspecAar</vt:lpstr>
      <vt:lpstr>LonspecAlle</vt:lpstr>
      <vt:lpstr>Lonspec</vt:lpstr>
      <vt:lpstr>A</vt:lpstr>
      <vt:lpstr>B</vt:lpstr>
      <vt:lpstr>C</vt:lpstr>
      <vt:lpstr>D</vt:lpstr>
      <vt:lpstr>E</vt:lpstr>
      <vt:lpstr>F</vt:lpstr>
      <vt:lpstr>G</vt:lpstr>
      <vt:lpstr>H</vt:lpstr>
      <vt:lpstr>I</vt:lpstr>
      <vt:lpstr>J</vt:lpstr>
      <vt:lpstr>K</vt:lpstr>
      <vt:lpstr>L</vt:lpstr>
      <vt:lpstr>M</vt:lpstr>
      <vt:lpstr>N</vt:lpstr>
      <vt:lpstr>O</vt:lpstr>
      <vt:lpstr>P</vt:lpstr>
      <vt:lpstr>LonspecLeder</vt:lpstr>
      <vt:lpstr>Leder</vt:lpstr>
      <vt:lpstr>andre</vt:lpstr>
      <vt:lpstr>Grundlon12</vt:lpstr>
      <vt:lpstr>Ex09_10</vt:lpstr>
      <vt:lpstr>Ex10_11</vt:lpstr>
      <vt:lpstr>Ex11_12</vt:lpstr>
      <vt:lpstr>Ex12_13</vt:lpstr>
      <vt:lpstr>Ex13_14</vt:lpstr>
      <vt:lpstr>Grundlon</vt:lpstr>
    </vt:vector>
  </TitlesOfParts>
  <Company>DF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Ole Mikkelsen</dc:creator>
  <cp:lastModifiedBy>Jeanette Ebenhardt Veggerby</cp:lastModifiedBy>
  <cp:lastPrinted>2014-04-28T06:26:27Z</cp:lastPrinted>
  <dcterms:created xsi:type="dcterms:W3CDTF">2004-04-22T12:43:04Z</dcterms:created>
  <dcterms:modified xsi:type="dcterms:W3CDTF">2014-05-13T07:04:48Z</dcterms:modified>
</cp:coreProperties>
</file>