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lleskolerne-my.sharepoint.com/personal/ls_lilleskolerne_dk/Documents/Delt med alle/LS 2020/4. VÆRKTØJER TIL SKOLER/4.03 Løn og løntabeller/Løntabeller/2025/"/>
    </mc:Choice>
  </mc:AlternateContent>
  <xr:revisionPtr revIDLastSave="23" documentId="8_{470BB656-79A3-45A2-8A3B-F4E8BA957EC7}" xr6:coauthVersionLast="47" xr6:coauthVersionMax="47" xr10:uidLastSave="{F28E6DE8-5241-4C06-92D6-31D7753AAF4F}"/>
  <bookViews>
    <workbookView xWindow="-120" yWindow="-120" windowWidth="29040" windowHeight="16440" tabRatio="993" xr2:uid="{00000000-000D-0000-FFFF-FFFF00000000}"/>
  </bookViews>
  <sheets>
    <sheet name="Forside 1" sheetId="2" r:id="rId1"/>
    <sheet name="Lønoversigt mm." sheetId="28" r:id="rId2"/>
    <sheet name="Lærere og bh kl ledere" sheetId="1" r:id="rId3"/>
    <sheet name="Ledere" sheetId="13" r:id="rId4"/>
    <sheet name="BUPL-FOA" sheetId="20" r:id="rId5"/>
    <sheet name="3f (LS_DSSV)" sheetId="24" state="hidden" r:id="rId6"/>
    <sheet name="HK (LS)" sheetId="16" state="hidden" r:id="rId7"/>
    <sheet name="3F" sheetId="33" r:id="rId8"/>
    <sheet name="3F (DPS)" sheetId="32" state="hidden" r:id="rId9"/>
    <sheet name="HK" sheetId="34" r:id="rId10"/>
    <sheet name="Generelle satser" sheetId="11" r:id="rId11"/>
    <sheet name="Statens skalatrin" sheetId="10" r:id="rId12"/>
    <sheet name="Løntabel gældende fra" sheetId="12" r:id="rId13"/>
  </sheets>
  <externalReferences>
    <externalReference r:id="rId14"/>
  </externalReferences>
  <definedNames>
    <definedName name="procentregulering">[1]aarslon!$A$1</definedName>
    <definedName name="_xlnm.Print_Area" localSheetId="7">'3F'!$A$1:$J$69</definedName>
    <definedName name="_xlnm.Print_Area" localSheetId="5">'3f (LS_DSSV)'!$A$1:$J$59</definedName>
    <definedName name="_xlnm.Print_Area" localSheetId="4">'BUPL-FOA'!$A$1:$H$110</definedName>
    <definedName name="_xlnm.Print_Area" localSheetId="0">'Forside 1'!$A$1:$I$26</definedName>
    <definedName name="_xlnm.Print_Area" localSheetId="10">'Generelle satser'!$A$1:$H$112</definedName>
    <definedName name="_xlnm.Print_Area" localSheetId="9">HK!$A$1:$K$77</definedName>
    <definedName name="_xlnm.Print_Area" localSheetId="6">'HK (LS)'!$A$1:$G$38</definedName>
    <definedName name="_xlnm.Print_Area" localSheetId="3">Ledere!$A$1:$G$93</definedName>
    <definedName name="_xlnm.Print_Area" localSheetId="2">'Lærere og bh kl ledere'!$A$1:$I$175</definedName>
    <definedName name="_xlnm.Print_Area" localSheetId="12">'Løntabel gældende fra'!$A$1:$G$33</definedName>
    <definedName name="_xlnm.Print_Area" localSheetId="11">'Statens skalatrin'!$A$1:$P$158</definedName>
    <definedName name="_xlnm.Print_Titles" localSheetId="7">'3F'!$1:$6</definedName>
    <definedName name="_xlnm.Print_Titles" localSheetId="5">'3f (LS_DSSV)'!$1:$4</definedName>
    <definedName name="_xlnm.Print_Titles" localSheetId="4">'BUPL-FOA'!$1:$3</definedName>
    <definedName name="_xlnm.Print_Titles" localSheetId="10">'Generelle satser'!$1:$1</definedName>
    <definedName name="_xlnm.Print_Titles" localSheetId="3">Ledere!#REF!</definedName>
    <definedName name="_xlnm.Print_Titles" localSheetId="2">'Lærere og bh kl ledere'!$1:$3</definedName>
    <definedName name="_xlnm.Print_Titles" localSheetId="11">'Statens skalatrin'!$1:$5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8" i="20" l="1"/>
  <c r="F62" i="20"/>
  <c r="H62" i="20"/>
  <c r="G62" i="20"/>
  <c r="H117" i="1"/>
  <c r="H116" i="1"/>
  <c r="H115" i="1"/>
  <c r="H114" i="1"/>
  <c r="H113" i="1"/>
  <c r="H110" i="1"/>
  <c r="C21" i="13" l="1"/>
  <c r="E13" i="13"/>
  <c r="F22" i="33" l="1"/>
  <c r="G97" i="20"/>
  <c r="F63" i="20"/>
  <c r="H63" i="20" s="1"/>
  <c r="F78" i="20" l="1"/>
  <c r="H78" i="20" s="1"/>
  <c r="F77" i="20"/>
  <c r="H77" i="20" s="1"/>
  <c r="F76" i="20"/>
  <c r="H76" i="20" s="1"/>
  <c r="F74" i="20"/>
  <c r="F75" i="20"/>
  <c r="H75" i="20" s="1"/>
  <c r="H74" i="20"/>
  <c r="F55" i="20" l="1"/>
  <c r="F69" i="20" l="1"/>
  <c r="H69" i="20" s="1"/>
  <c r="H68" i="20"/>
  <c r="G57" i="20"/>
  <c r="F57" i="20"/>
  <c r="H57" i="20" s="1"/>
  <c r="G49" i="20"/>
  <c r="F49" i="20"/>
  <c r="H49" i="20" s="1"/>
  <c r="A27" i="11"/>
  <c r="I91" i="1" l="1"/>
  <c r="I92" i="1"/>
  <c r="I83" i="1" l="1"/>
  <c r="I82" i="1"/>
  <c r="J41" i="34"/>
  <c r="J32" i="34"/>
  <c r="J21" i="34"/>
  <c r="F21" i="33"/>
  <c r="F56" i="20"/>
  <c r="H56" i="20" s="1"/>
  <c r="H55" i="20"/>
  <c r="H87" i="20"/>
  <c r="H84" i="20"/>
  <c r="H57" i="11"/>
  <c r="D36" i="33"/>
  <c r="D35" i="33"/>
  <c r="F34" i="33"/>
  <c r="F20" i="33"/>
  <c r="F23" i="33"/>
  <c r="A2" i="13" l="1"/>
  <c r="G77" i="34" l="1"/>
  <c r="H77" i="34" s="1"/>
  <c r="G73" i="34"/>
  <c r="H73" i="34" s="1"/>
  <c r="G74" i="34"/>
  <c r="H74" i="34" s="1"/>
  <c r="G75" i="34"/>
  <c r="H75" i="34" s="1"/>
  <c r="G72" i="34"/>
  <c r="H72" i="34" s="1"/>
  <c r="G68" i="34"/>
  <c r="H68" i="34" s="1"/>
  <c r="G69" i="34"/>
  <c r="H69" i="34" s="1"/>
  <c r="G70" i="34"/>
  <c r="H70" i="34" s="1"/>
  <c r="G67" i="34"/>
  <c r="H67" i="34" s="1"/>
  <c r="D77" i="34"/>
  <c r="E77" i="34" s="1"/>
  <c r="D73" i="34"/>
  <c r="E73" i="34" s="1"/>
  <c r="D74" i="34"/>
  <c r="E74" i="34" s="1"/>
  <c r="D75" i="34"/>
  <c r="E75" i="34" s="1"/>
  <c r="D72" i="34"/>
  <c r="E72" i="34" s="1"/>
  <c r="D68" i="34"/>
  <c r="E68" i="34" s="1"/>
  <c r="D69" i="34"/>
  <c r="E69" i="34" s="1"/>
  <c r="D70" i="34"/>
  <c r="E70" i="34" s="1"/>
  <c r="D67" i="34"/>
  <c r="E67" i="34" s="1"/>
  <c r="I59" i="34"/>
  <c r="I53" i="34"/>
  <c r="I52" i="34"/>
  <c r="I69" i="33"/>
  <c r="I57" i="33"/>
  <c r="I51" i="33"/>
  <c r="I43" i="33"/>
  <c r="I44" i="33"/>
  <c r="I45" i="33"/>
  <c r="I42" i="33"/>
  <c r="F29" i="33"/>
  <c r="F109" i="20"/>
  <c r="F108" i="20"/>
  <c r="G98" i="20"/>
  <c r="G96" i="20"/>
  <c r="H91" i="20"/>
  <c r="H90" i="20"/>
  <c r="H89" i="20"/>
  <c r="H88" i="20"/>
  <c r="H85" i="20"/>
  <c r="F50" i="20"/>
  <c r="H50" i="20" s="1"/>
  <c r="G11" i="1"/>
  <c r="H11" i="1" s="1"/>
  <c r="G12" i="1"/>
  <c r="H12" i="1" s="1"/>
  <c r="G13" i="1"/>
  <c r="H13" i="1" s="1"/>
  <c r="G10" i="1"/>
  <c r="H10" i="1" s="1"/>
  <c r="D13" i="1"/>
  <c r="E13" i="1" s="1"/>
  <c r="D12" i="1"/>
  <c r="E12" i="1" s="1"/>
  <c r="D11" i="1"/>
  <c r="E11" i="1" s="1"/>
  <c r="D10" i="1"/>
  <c r="E10" i="1" s="1"/>
  <c r="H112" i="1"/>
  <c r="H111" i="1"/>
  <c r="G104" i="1"/>
  <c r="G103" i="1"/>
  <c r="G100" i="1"/>
  <c r="G99" i="1"/>
  <c r="F104" i="1"/>
  <c r="F103" i="1"/>
  <c r="F100" i="1"/>
  <c r="F99" i="1"/>
  <c r="I90" i="1"/>
  <c r="I89" i="1"/>
  <c r="I77" i="1"/>
  <c r="H71" i="1"/>
  <c r="I71" i="1" s="1"/>
  <c r="D65" i="1"/>
  <c r="F65" i="1" s="1"/>
  <c r="D64" i="1"/>
  <c r="F64" i="1" s="1"/>
  <c r="D63" i="1"/>
  <c r="F63" i="1" s="1"/>
  <c r="D62" i="1"/>
  <c r="F62" i="1" s="1"/>
  <c r="D56" i="1"/>
  <c r="F56" i="1" s="1"/>
  <c r="D55" i="1"/>
  <c r="F55" i="1" s="1"/>
  <c r="D54" i="1"/>
  <c r="F54" i="1" s="1"/>
  <c r="D53" i="1"/>
  <c r="F53" i="1" s="1"/>
  <c r="D47" i="1"/>
  <c r="F47" i="1" s="1"/>
  <c r="D46" i="1"/>
  <c r="F46" i="1" s="1"/>
  <c r="D45" i="1"/>
  <c r="F45" i="1" s="1"/>
  <c r="H23" i="1"/>
  <c r="H22" i="1"/>
  <c r="H21" i="1"/>
  <c r="H20" i="1"/>
  <c r="E23" i="1"/>
  <c r="E22" i="1"/>
  <c r="E21" i="1"/>
  <c r="E20" i="1"/>
  <c r="C29" i="1" s="1"/>
  <c r="E24" i="11"/>
  <c r="E23" i="11"/>
  <c r="E22" i="11"/>
  <c r="F36" i="33" l="1"/>
  <c r="F35" i="33"/>
  <c r="F29" i="11"/>
  <c r="H29" i="11"/>
  <c r="H63" i="11" l="1"/>
  <c r="H62" i="11"/>
  <c r="H61" i="11"/>
  <c r="H60" i="11"/>
  <c r="H58" i="11"/>
  <c r="H56" i="11"/>
  <c r="D29" i="13" l="1"/>
  <c r="C29" i="13"/>
  <c r="C23" i="13"/>
  <c r="C22" i="13"/>
  <c r="D21" i="13"/>
  <c r="C65" i="34" l="1"/>
  <c r="F65" i="34" s="1"/>
  <c r="I58" i="34"/>
  <c r="E65" i="34" s="1"/>
  <c r="H65" i="34" s="1"/>
  <c r="I51" i="34"/>
  <c r="D65" i="34" l="1"/>
  <c r="G65" i="34" s="1"/>
  <c r="E21" i="13" l="1"/>
  <c r="F13" i="13"/>
  <c r="F28" i="33"/>
  <c r="F61" i="1"/>
  <c r="D61" i="1"/>
  <c r="B155" i="1"/>
  <c r="F155" i="1" s="1"/>
  <c r="B154" i="1"/>
  <c r="F154" i="1" s="1"/>
  <c r="B153" i="1"/>
  <c r="F153" i="1" s="1"/>
  <c r="B152" i="1"/>
  <c r="F152" i="1" s="1"/>
  <c r="B128" i="1"/>
  <c r="F128" i="1" s="1"/>
  <c r="B127" i="1"/>
  <c r="F127" i="1" s="1"/>
  <c r="B126" i="1"/>
  <c r="F126" i="1" s="1"/>
  <c r="B125" i="1"/>
  <c r="F125" i="1" s="1"/>
  <c r="O45" i="10"/>
  <c r="O46" i="10" s="1"/>
  <c r="O54" i="10"/>
  <c r="O55" i="10" s="1"/>
  <c r="O63" i="10"/>
  <c r="O64" i="10" s="1"/>
  <c r="G24" i="34" s="1"/>
  <c r="J24" i="34" s="1"/>
  <c r="F97" i="1"/>
  <c r="F101" i="1"/>
  <c r="A100" i="20"/>
  <c r="F87" i="10"/>
  <c r="F88" i="10" s="1"/>
  <c r="F44" i="13"/>
  <c r="F43" i="13"/>
  <c r="E40" i="10"/>
  <c r="E41" i="10" s="1"/>
  <c r="F39" i="10"/>
  <c r="F40" i="10" s="1"/>
  <c r="G40" i="10"/>
  <c r="G41" i="10" s="1"/>
  <c r="H39" i="10"/>
  <c r="H40" i="10" s="1"/>
  <c r="I40" i="10"/>
  <c r="I41" i="10" s="1"/>
  <c r="J39" i="10"/>
  <c r="J40" i="10" s="1"/>
  <c r="K40" i="10"/>
  <c r="K41" i="10" s="1"/>
  <c r="L39" i="10"/>
  <c r="L40" i="10" s="1"/>
  <c r="M41" i="10"/>
  <c r="N41" i="10"/>
  <c r="O39" i="10"/>
  <c r="O40" i="10" s="1"/>
  <c r="D39" i="10"/>
  <c r="D40" i="10" s="1"/>
  <c r="F69" i="13"/>
  <c r="D69" i="13"/>
  <c r="B71" i="13"/>
  <c r="C71" i="13" s="1"/>
  <c r="B72" i="13"/>
  <c r="B73" i="13"/>
  <c r="B74" i="13"/>
  <c r="B75" i="13"/>
  <c r="B76" i="13"/>
  <c r="B77" i="13"/>
  <c r="B78" i="13"/>
  <c r="B79" i="13"/>
  <c r="B80" i="13"/>
  <c r="B81" i="13"/>
  <c r="C81" i="13" s="1"/>
  <c r="B82" i="13"/>
  <c r="B83" i="13"/>
  <c r="B84" i="13"/>
  <c r="B85" i="13"/>
  <c r="B86" i="13"/>
  <c r="B87" i="13"/>
  <c r="B88" i="13"/>
  <c r="B89" i="13"/>
  <c r="C89" i="13" s="1"/>
  <c r="B90" i="13"/>
  <c r="A1" i="10"/>
  <c r="A3" i="34"/>
  <c r="I54" i="32"/>
  <c r="I47" i="32"/>
  <c r="I40" i="32"/>
  <c r="I33" i="32"/>
  <c r="I23" i="32"/>
  <c r="A3" i="32"/>
  <c r="A3" i="33"/>
  <c r="A3" i="20"/>
  <c r="E35" i="13"/>
  <c r="E10" i="13"/>
  <c r="E19" i="13"/>
  <c r="E8" i="13"/>
  <c r="F52" i="1"/>
  <c r="D52" i="1"/>
  <c r="A29" i="1"/>
  <c r="A26" i="1"/>
  <c r="A3" i="1"/>
  <c r="G30" i="11"/>
  <c r="H30" i="11" s="1"/>
  <c r="G31" i="11"/>
  <c r="H31" i="11" s="1"/>
  <c r="G32" i="11"/>
  <c r="H32" i="11" s="1"/>
  <c r="G33" i="11"/>
  <c r="H33" i="11" s="1"/>
  <c r="E30" i="11"/>
  <c r="F30" i="11" s="1"/>
  <c r="E31" i="11"/>
  <c r="F31" i="11" s="1"/>
  <c r="E32" i="11"/>
  <c r="F32" i="11" s="1"/>
  <c r="E33" i="11"/>
  <c r="F33" i="11" s="1"/>
  <c r="O57" i="10"/>
  <c r="O58" i="10" s="1"/>
  <c r="O60" i="10"/>
  <c r="O61" i="10" s="1"/>
  <c r="G13" i="20" s="1"/>
  <c r="H13" i="20" s="1"/>
  <c r="O66" i="10"/>
  <c r="O67" i="10" s="1"/>
  <c r="G14" i="33" s="1"/>
  <c r="O69" i="10"/>
  <c r="O70" i="10" s="1"/>
  <c r="G25" i="34" s="1"/>
  <c r="J25" i="34" s="1"/>
  <c r="O72" i="10"/>
  <c r="O73" i="10" s="1"/>
  <c r="G17" i="20" s="1"/>
  <c r="H17" i="20" s="1"/>
  <c r="O75" i="10"/>
  <c r="O76" i="10" s="1"/>
  <c r="O77" i="10" s="1"/>
  <c r="O78" i="10"/>
  <c r="O79" i="10" s="1"/>
  <c r="G19" i="20" s="1"/>
  <c r="H19" i="20" s="1"/>
  <c r="O81" i="10"/>
  <c r="O82" i="10" s="1"/>
  <c r="O84" i="10"/>
  <c r="O85" i="10" s="1"/>
  <c r="O87" i="10"/>
  <c r="O88" i="10" s="1"/>
  <c r="G22" i="20" s="1"/>
  <c r="H22" i="20" s="1"/>
  <c r="O90" i="10"/>
  <c r="O91" i="10" s="1"/>
  <c r="G34" i="34" s="1"/>
  <c r="J34" i="34" s="1"/>
  <c r="O93" i="10"/>
  <c r="O94" i="10" s="1"/>
  <c r="G24" i="20" s="1"/>
  <c r="H24" i="20" s="1"/>
  <c r="O96" i="10"/>
  <c r="O97" i="10" s="1"/>
  <c r="G35" i="34" s="1"/>
  <c r="J35" i="34" s="1"/>
  <c r="O99" i="10"/>
  <c r="O100" i="10" s="1"/>
  <c r="G26" i="20" s="1"/>
  <c r="H26" i="20" s="1"/>
  <c r="O102" i="10"/>
  <c r="O103" i="10" s="1"/>
  <c r="G36" i="34" s="1"/>
  <c r="J36" i="34" s="1"/>
  <c r="O105" i="10"/>
  <c r="O106" i="10" s="1"/>
  <c r="G42" i="34" s="1"/>
  <c r="J42" i="34" s="1"/>
  <c r="O108" i="10"/>
  <c r="O109" i="10" s="1"/>
  <c r="O111" i="10"/>
  <c r="O112" i="10" s="1"/>
  <c r="G43" i="34" s="1"/>
  <c r="J43" i="34" s="1"/>
  <c r="O114" i="10"/>
  <c r="O115" i="10" s="1"/>
  <c r="G31" i="20" s="1"/>
  <c r="H31" i="20" s="1"/>
  <c r="O117" i="10"/>
  <c r="O118" i="10" s="1"/>
  <c r="O51" i="10"/>
  <c r="O52" i="10" s="1"/>
  <c r="O53" i="10" s="1"/>
  <c r="O48" i="10"/>
  <c r="O49" i="10" s="1"/>
  <c r="I48" i="32"/>
  <c r="I41" i="32"/>
  <c r="I34" i="32"/>
  <c r="I25" i="32"/>
  <c r="I26" i="32"/>
  <c r="I27" i="32"/>
  <c r="I24" i="32"/>
  <c r="D57" i="10"/>
  <c r="D58" i="10" s="1"/>
  <c r="D60" i="10"/>
  <c r="D61" i="10" s="1"/>
  <c r="B13" i="20" s="1"/>
  <c r="D54" i="10"/>
  <c r="D55" i="10" s="1"/>
  <c r="D51" i="10"/>
  <c r="D52" i="10" s="1"/>
  <c r="I68" i="33"/>
  <c r="I62" i="33"/>
  <c r="I56" i="33"/>
  <c r="I50" i="33"/>
  <c r="I41" i="33"/>
  <c r="J45" i="10"/>
  <c r="J46" i="10" s="1"/>
  <c r="E16" i="34" s="1"/>
  <c r="L45" i="10"/>
  <c r="L46" i="10" s="1"/>
  <c r="F16" i="34" s="1"/>
  <c r="L63" i="10"/>
  <c r="L64" i="10" s="1"/>
  <c r="F24" i="34" s="1"/>
  <c r="J63" i="10"/>
  <c r="J64" i="10" s="1"/>
  <c r="H63" i="10"/>
  <c r="H64" i="10" s="1"/>
  <c r="H65" i="10" s="1"/>
  <c r="F63" i="10"/>
  <c r="F64" i="10" s="1"/>
  <c r="C14" i="20" s="1"/>
  <c r="D63" i="10"/>
  <c r="D64" i="10" s="1"/>
  <c r="B24" i="34" s="1"/>
  <c r="H45" i="10"/>
  <c r="H46" i="10" s="1"/>
  <c r="F45" i="10"/>
  <c r="F46" i="10" s="1"/>
  <c r="C8" i="20" s="1"/>
  <c r="D45" i="10"/>
  <c r="D46" i="10" s="1"/>
  <c r="B9" i="32" s="1"/>
  <c r="B17" i="32" s="1"/>
  <c r="L54" i="10"/>
  <c r="L55" i="10" s="1"/>
  <c r="J54" i="10"/>
  <c r="J55" i="10" s="1"/>
  <c r="E10" i="32" s="1"/>
  <c r="H54" i="10"/>
  <c r="H55" i="10" s="1"/>
  <c r="D11" i="24" s="1"/>
  <c r="F54" i="10"/>
  <c r="F55" i="10" s="1"/>
  <c r="F48" i="20"/>
  <c r="H83" i="20"/>
  <c r="G50" i="20"/>
  <c r="H48" i="20"/>
  <c r="O156" i="10"/>
  <c r="O157" i="10" s="1"/>
  <c r="O158" i="10" s="1"/>
  <c r="N158" i="10"/>
  <c r="M158" i="10"/>
  <c r="L156" i="10"/>
  <c r="L157" i="10" s="1"/>
  <c r="L158" i="10" s="1"/>
  <c r="K157" i="10"/>
  <c r="K158" i="10" s="1"/>
  <c r="J156" i="10"/>
  <c r="J157" i="10" s="1"/>
  <c r="J158" i="10" s="1"/>
  <c r="I157" i="10"/>
  <c r="I158" i="10" s="1"/>
  <c r="H156" i="10"/>
  <c r="H157" i="10" s="1"/>
  <c r="H158" i="10" s="1"/>
  <c r="G157" i="10"/>
  <c r="G158" i="10" s="1"/>
  <c r="F156" i="10"/>
  <c r="F157" i="10" s="1"/>
  <c r="F158" i="10" s="1"/>
  <c r="D156" i="10"/>
  <c r="D157" i="10" s="1"/>
  <c r="D158" i="10" s="1"/>
  <c r="O153" i="10"/>
  <c r="O154" i="10" s="1"/>
  <c r="O155" i="10" s="1"/>
  <c r="N155" i="10"/>
  <c r="M155" i="10"/>
  <c r="L153" i="10"/>
  <c r="L154" i="10" s="1"/>
  <c r="L155" i="10" s="1"/>
  <c r="K154" i="10"/>
  <c r="K155" i="10" s="1"/>
  <c r="J153" i="10"/>
  <c r="J154" i="10" s="1"/>
  <c r="J155" i="10" s="1"/>
  <c r="I154" i="10"/>
  <c r="I155" i="10" s="1"/>
  <c r="H153" i="10"/>
  <c r="H154" i="10" s="1"/>
  <c r="H155" i="10" s="1"/>
  <c r="G154" i="10"/>
  <c r="G155" i="10" s="1"/>
  <c r="F153" i="10"/>
  <c r="F154" i="10" s="1"/>
  <c r="F155" i="10" s="1"/>
  <c r="D153" i="10"/>
  <c r="D154" i="10" s="1"/>
  <c r="D155" i="10" s="1"/>
  <c r="O150" i="10"/>
  <c r="O151" i="10" s="1"/>
  <c r="O152" i="10" s="1"/>
  <c r="N152" i="10"/>
  <c r="M152" i="10"/>
  <c r="L150" i="10"/>
  <c r="L151" i="10" s="1"/>
  <c r="L152" i="10" s="1"/>
  <c r="K151" i="10"/>
  <c r="K152" i="10" s="1"/>
  <c r="J150" i="10"/>
  <c r="J151" i="10" s="1"/>
  <c r="J152" i="10" s="1"/>
  <c r="I151" i="10"/>
  <c r="I152" i="10" s="1"/>
  <c r="H150" i="10"/>
  <c r="H151" i="10" s="1"/>
  <c r="H152" i="10" s="1"/>
  <c r="G151" i="10"/>
  <c r="G152" i="10" s="1"/>
  <c r="F150" i="10"/>
  <c r="F151" i="10" s="1"/>
  <c r="F152" i="10" s="1"/>
  <c r="D150" i="10"/>
  <c r="D151" i="10" s="1"/>
  <c r="D152" i="10" s="1"/>
  <c r="O147" i="10"/>
  <c r="O148" i="10" s="1"/>
  <c r="N149" i="10"/>
  <c r="M149" i="10"/>
  <c r="L147" i="10"/>
  <c r="L148" i="10" s="1"/>
  <c r="L149" i="10" s="1"/>
  <c r="K148" i="10"/>
  <c r="K149" i="10" s="1"/>
  <c r="J147" i="10"/>
  <c r="J148" i="10" s="1"/>
  <c r="J149" i="10" s="1"/>
  <c r="I148" i="10"/>
  <c r="I149" i="10" s="1"/>
  <c r="H147" i="10"/>
  <c r="H148" i="10" s="1"/>
  <c r="D43" i="20" s="1"/>
  <c r="G148" i="10"/>
  <c r="G149" i="10" s="1"/>
  <c r="F147" i="10"/>
  <c r="F148" i="10" s="1"/>
  <c r="F149" i="10" s="1"/>
  <c r="D147" i="10"/>
  <c r="D148" i="10" s="1"/>
  <c r="B43" i="20" s="1"/>
  <c r="O144" i="10"/>
  <c r="O145" i="10" s="1"/>
  <c r="O146" i="10" s="1"/>
  <c r="N146" i="10"/>
  <c r="M146" i="10"/>
  <c r="L144" i="10"/>
  <c r="L145" i="10" s="1"/>
  <c r="L146" i="10" s="1"/>
  <c r="K145" i="10"/>
  <c r="K146" i="10" s="1"/>
  <c r="J144" i="10"/>
  <c r="J145" i="10" s="1"/>
  <c r="J146" i="10" s="1"/>
  <c r="I145" i="10"/>
  <c r="I146" i="10" s="1"/>
  <c r="H144" i="10"/>
  <c r="H145" i="10" s="1"/>
  <c r="H146" i="10" s="1"/>
  <c r="G145" i="10"/>
  <c r="G146" i="10" s="1"/>
  <c r="F144" i="10"/>
  <c r="F145" i="10" s="1"/>
  <c r="F146" i="10" s="1"/>
  <c r="D144" i="10"/>
  <c r="D145" i="10" s="1"/>
  <c r="D146" i="10" s="1"/>
  <c r="O141" i="10"/>
  <c r="O142" i="10" s="1"/>
  <c r="N143" i="10"/>
  <c r="M143" i="10"/>
  <c r="L141" i="10"/>
  <c r="L142" i="10" s="1"/>
  <c r="K142" i="10"/>
  <c r="K143" i="10" s="1"/>
  <c r="J141" i="10"/>
  <c r="J142" i="10" s="1"/>
  <c r="I142" i="10"/>
  <c r="I143" i="10" s="1"/>
  <c r="H141" i="10"/>
  <c r="H142" i="10" s="1"/>
  <c r="G142" i="10"/>
  <c r="G143" i="10" s="1"/>
  <c r="F141" i="10"/>
  <c r="F142" i="10" s="1"/>
  <c r="D141" i="10"/>
  <c r="D142" i="10" s="1"/>
  <c r="O138" i="10"/>
  <c r="O139" i="10" s="1"/>
  <c r="O140" i="10" s="1"/>
  <c r="N140" i="10"/>
  <c r="M140" i="10"/>
  <c r="L138" i="10"/>
  <c r="L139" i="10" s="1"/>
  <c r="L140" i="10" s="1"/>
  <c r="K139" i="10"/>
  <c r="K140" i="10" s="1"/>
  <c r="J138" i="10"/>
  <c r="J139" i="10" s="1"/>
  <c r="J140" i="10" s="1"/>
  <c r="I139" i="10"/>
  <c r="I140" i="10" s="1"/>
  <c r="H138" i="10"/>
  <c r="H139" i="10" s="1"/>
  <c r="H140" i="10" s="1"/>
  <c r="G139" i="10"/>
  <c r="G140" i="10" s="1"/>
  <c r="F138" i="10"/>
  <c r="F139" i="10" s="1"/>
  <c r="F140" i="10" s="1"/>
  <c r="D138" i="10"/>
  <c r="D139" i="10" s="1"/>
  <c r="D140" i="10" s="1"/>
  <c r="O135" i="10"/>
  <c r="O136" i="10" s="1"/>
  <c r="N137" i="10"/>
  <c r="M137" i="10"/>
  <c r="L135" i="10"/>
  <c r="L136" i="10" s="1"/>
  <c r="K136" i="10"/>
  <c r="K137" i="10" s="1"/>
  <c r="J135" i="10"/>
  <c r="J136" i="10" s="1"/>
  <c r="I136" i="10"/>
  <c r="I137" i="10" s="1"/>
  <c r="H135" i="10"/>
  <c r="H136" i="10" s="1"/>
  <c r="G136" i="10"/>
  <c r="G137" i="10" s="1"/>
  <c r="F135" i="10"/>
  <c r="F136" i="10" s="1"/>
  <c r="D135" i="10"/>
  <c r="D136" i="10" s="1"/>
  <c r="O132" i="10"/>
  <c r="O133" i="10" s="1"/>
  <c r="G40" i="20" s="1"/>
  <c r="N134" i="10"/>
  <c r="M134" i="10"/>
  <c r="L132" i="10"/>
  <c r="L133" i="10" s="1"/>
  <c r="F40" i="20" s="1"/>
  <c r="K133" i="10"/>
  <c r="K134" i="10" s="1"/>
  <c r="J132" i="10"/>
  <c r="J133" i="10" s="1"/>
  <c r="E40" i="20" s="1"/>
  <c r="I133" i="10"/>
  <c r="I134" i="10" s="1"/>
  <c r="H132" i="10"/>
  <c r="H133" i="10" s="1"/>
  <c r="D40" i="20" s="1"/>
  <c r="G133" i="10"/>
  <c r="G134" i="10" s="1"/>
  <c r="F132" i="10"/>
  <c r="F133" i="10" s="1"/>
  <c r="C40" i="20" s="1"/>
  <c r="D132" i="10"/>
  <c r="D133" i="10" s="1"/>
  <c r="B40" i="20" s="1"/>
  <c r="O129" i="10"/>
  <c r="O130" i="10" s="1"/>
  <c r="N131" i="10"/>
  <c r="M131" i="10"/>
  <c r="L129" i="10"/>
  <c r="L130" i="10" s="1"/>
  <c r="F36" i="20" s="1"/>
  <c r="K130" i="10"/>
  <c r="K131" i="10" s="1"/>
  <c r="J129" i="10"/>
  <c r="J130" i="10" s="1"/>
  <c r="I130" i="10"/>
  <c r="I131" i="10" s="1"/>
  <c r="H129" i="10"/>
  <c r="H130" i="10" s="1"/>
  <c r="D36" i="20" s="1"/>
  <c r="G130" i="10"/>
  <c r="G131" i="10" s="1"/>
  <c r="F129" i="10"/>
  <c r="F130" i="10" s="1"/>
  <c r="D129" i="10"/>
  <c r="D130" i="10" s="1"/>
  <c r="B36" i="20" s="1"/>
  <c r="O126" i="10"/>
  <c r="O127" i="10" s="1"/>
  <c r="N128" i="10"/>
  <c r="M128" i="10"/>
  <c r="L126" i="10"/>
  <c r="L127" i="10" s="1"/>
  <c r="K127" i="10"/>
  <c r="K128" i="10" s="1"/>
  <c r="J126" i="10"/>
  <c r="J127" i="10" s="1"/>
  <c r="I127" i="10"/>
  <c r="I128" i="10" s="1"/>
  <c r="H126" i="10"/>
  <c r="H127" i="10" s="1"/>
  <c r="G127" i="10"/>
  <c r="G128" i="10" s="1"/>
  <c r="F126" i="10"/>
  <c r="F127" i="10" s="1"/>
  <c r="D126" i="10"/>
  <c r="D127" i="10" s="1"/>
  <c r="O123" i="10"/>
  <c r="O124" i="10" s="1"/>
  <c r="N125" i="10"/>
  <c r="M125" i="10"/>
  <c r="L123" i="10"/>
  <c r="L124" i="10" s="1"/>
  <c r="K124" i="10"/>
  <c r="K125" i="10" s="1"/>
  <c r="J123" i="10"/>
  <c r="J124" i="10" s="1"/>
  <c r="E34" i="20" s="1"/>
  <c r="I124" i="10"/>
  <c r="I125" i="10" s="1"/>
  <c r="H123" i="10"/>
  <c r="H124" i="10" s="1"/>
  <c r="G124" i="10"/>
  <c r="G125" i="10" s="1"/>
  <c r="F123" i="10"/>
  <c r="F124" i="10" s="1"/>
  <c r="D123" i="10"/>
  <c r="D124" i="10" s="1"/>
  <c r="O120" i="10"/>
  <c r="O121" i="10" s="1"/>
  <c r="G33" i="20" s="1"/>
  <c r="H33" i="20" s="1"/>
  <c r="N122" i="10"/>
  <c r="M122" i="10"/>
  <c r="L120" i="10"/>
  <c r="L121" i="10" s="1"/>
  <c r="F33" i="20" s="1"/>
  <c r="K121" i="10"/>
  <c r="K122" i="10" s="1"/>
  <c r="J120" i="10"/>
  <c r="J121" i="10" s="1"/>
  <c r="E33" i="20" s="1"/>
  <c r="I121" i="10"/>
  <c r="I122" i="10" s="1"/>
  <c r="H120" i="10"/>
  <c r="H121" i="10" s="1"/>
  <c r="D33" i="20" s="1"/>
  <c r="G121" i="10"/>
  <c r="G122" i="10" s="1"/>
  <c r="F120" i="10"/>
  <c r="F121" i="10" s="1"/>
  <c r="C33" i="20" s="1"/>
  <c r="D120" i="10"/>
  <c r="D121" i="10" s="1"/>
  <c r="B33" i="20" s="1"/>
  <c r="N119" i="10"/>
  <c r="M119" i="10"/>
  <c r="L117" i="10"/>
  <c r="L118" i="10" s="1"/>
  <c r="L119" i="10" s="1"/>
  <c r="K118" i="10"/>
  <c r="K119" i="10" s="1"/>
  <c r="J117" i="10"/>
  <c r="J118" i="10" s="1"/>
  <c r="J119" i="10" s="1"/>
  <c r="I118" i="10"/>
  <c r="I119" i="10" s="1"/>
  <c r="H117" i="10"/>
  <c r="H118" i="10" s="1"/>
  <c r="G118" i="10"/>
  <c r="G119" i="10" s="1"/>
  <c r="F117" i="10"/>
  <c r="F118" i="10" s="1"/>
  <c r="D117" i="10"/>
  <c r="D118" i="10" s="1"/>
  <c r="B32" i="20" s="1"/>
  <c r="N116" i="10"/>
  <c r="M116" i="10"/>
  <c r="L114" i="10"/>
  <c r="L115" i="10" s="1"/>
  <c r="L116" i="10" s="1"/>
  <c r="K115" i="10"/>
  <c r="K116" i="10" s="1"/>
  <c r="J114" i="10"/>
  <c r="J115" i="10" s="1"/>
  <c r="I115" i="10"/>
  <c r="I116" i="10" s="1"/>
  <c r="H114" i="10"/>
  <c r="H115" i="10" s="1"/>
  <c r="H116" i="10" s="1"/>
  <c r="G115" i="10"/>
  <c r="G116" i="10" s="1"/>
  <c r="F114" i="10"/>
  <c r="F115" i="10" s="1"/>
  <c r="C31" i="20" s="1"/>
  <c r="D114" i="10"/>
  <c r="D115" i="10" s="1"/>
  <c r="D116" i="10" s="1"/>
  <c r="N113" i="10"/>
  <c r="M113" i="10"/>
  <c r="L111" i="10"/>
  <c r="L112" i="10" s="1"/>
  <c r="K112" i="10"/>
  <c r="K113" i="10" s="1"/>
  <c r="J111" i="10"/>
  <c r="J112" i="10" s="1"/>
  <c r="E43" i="34" s="1"/>
  <c r="I112" i="10"/>
  <c r="I113" i="10" s="1"/>
  <c r="H111" i="10"/>
  <c r="H112" i="10" s="1"/>
  <c r="D43" i="34" s="1"/>
  <c r="G112" i="10"/>
  <c r="G113" i="10" s="1"/>
  <c r="F111" i="10"/>
  <c r="F112" i="10" s="1"/>
  <c r="D111" i="10"/>
  <c r="D112" i="10" s="1"/>
  <c r="B30" i="20" s="1"/>
  <c r="N110" i="10"/>
  <c r="M110" i="10"/>
  <c r="L108" i="10"/>
  <c r="L109" i="10" s="1"/>
  <c r="L110" i="10" s="1"/>
  <c r="K109" i="10"/>
  <c r="K110" i="10" s="1"/>
  <c r="J108" i="10"/>
  <c r="J109" i="10" s="1"/>
  <c r="I109" i="10"/>
  <c r="I110" i="10" s="1"/>
  <c r="H108" i="10"/>
  <c r="H109" i="10" s="1"/>
  <c r="G109" i="10"/>
  <c r="G110" i="10" s="1"/>
  <c r="F108" i="10"/>
  <c r="F109" i="10" s="1"/>
  <c r="F110" i="10" s="1"/>
  <c r="D108" i="10"/>
  <c r="D109" i="10" s="1"/>
  <c r="N107" i="10"/>
  <c r="M107" i="10"/>
  <c r="L105" i="10"/>
  <c r="L106" i="10" s="1"/>
  <c r="K106" i="10"/>
  <c r="K107" i="10" s="1"/>
  <c r="J105" i="10"/>
  <c r="J106" i="10" s="1"/>
  <c r="I106" i="10"/>
  <c r="I107" i="10" s="1"/>
  <c r="H105" i="10"/>
  <c r="H106" i="10" s="1"/>
  <c r="D42" i="34" s="1"/>
  <c r="G106" i="10"/>
  <c r="G107" i="10" s="1"/>
  <c r="F105" i="10"/>
  <c r="F106" i="10" s="1"/>
  <c r="C42" i="34" s="1"/>
  <c r="D105" i="10"/>
  <c r="D106" i="10" s="1"/>
  <c r="B42" i="34" s="1"/>
  <c r="N104" i="10"/>
  <c r="M104" i="10"/>
  <c r="L102" i="10"/>
  <c r="L103" i="10" s="1"/>
  <c r="F36" i="34" s="1"/>
  <c r="K103" i="10"/>
  <c r="K104" i="10" s="1"/>
  <c r="J102" i="10"/>
  <c r="J103" i="10" s="1"/>
  <c r="E36" i="34" s="1"/>
  <c r="I103" i="10"/>
  <c r="I104" i="10" s="1"/>
  <c r="H102" i="10"/>
  <c r="H103" i="10" s="1"/>
  <c r="G103" i="10"/>
  <c r="G104" i="10" s="1"/>
  <c r="F102" i="10"/>
  <c r="F103" i="10" s="1"/>
  <c r="C27" i="20" s="1"/>
  <c r="D102" i="10"/>
  <c r="D103" i="10" s="1"/>
  <c r="B36" i="34" s="1"/>
  <c r="N101" i="10"/>
  <c r="M101" i="10"/>
  <c r="L99" i="10"/>
  <c r="L100" i="10" s="1"/>
  <c r="L101" i="10" s="1"/>
  <c r="K100" i="10"/>
  <c r="K101" i="10" s="1"/>
  <c r="J99" i="10"/>
  <c r="J100" i="10" s="1"/>
  <c r="J101" i="10" s="1"/>
  <c r="I100" i="10"/>
  <c r="I101" i="10" s="1"/>
  <c r="H99" i="10"/>
  <c r="H100" i="10" s="1"/>
  <c r="H101" i="10" s="1"/>
  <c r="G100" i="10"/>
  <c r="G101" i="10" s="1"/>
  <c r="F99" i="10"/>
  <c r="F100" i="10" s="1"/>
  <c r="D99" i="10"/>
  <c r="D100" i="10" s="1"/>
  <c r="N98" i="10"/>
  <c r="M98" i="10"/>
  <c r="L96" i="10"/>
  <c r="L97" i="10" s="1"/>
  <c r="K97" i="10"/>
  <c r="K98" i="10" s="1"/>
  <c r="J96" i="10"/>
  <c r="J97" i="10" s="1"/>
  <c r="E35" i="34" s="1"/>
  <c r="I97" i="10"/>
  <c r="I98" i="10" s="1"/>
  <c r="H96" i="10"/>
  <c r="H97" i="10" s="1"/>
  <c r="D35" i="34" s="1"/>
  <c r="G97" i="10"/>
  <c r="G98" i="10" s="1"/>
  <c r="F96" i="10"/>
  <c r="F97" i="10" s="1"/>
  <c r="D96" i="10"/>
  <c r="D97" i="10" s="1"/>
  <c r="B35" i="34" s="1"/>
  <c r="N95" i="10"/>
  <c r="M95" i="10"/>
  <c r="L93" i="10"/>
  <c r="L94" i="10" s="1"/>
  <c r="L95" i="10" s="1"/>
  <c r="K94" i="10"/>
  <c r="K95" i="10" s="1"/>
  <c r="J93" i="10"/>
  <c r="J94" i="10" s="1"/>
  <c r="I94" i="10"/>
  <c r="I95" i="10" s="1"/>
  <c r="H93" i="10"/>
  <c r="H94" i="10" s="1"/>
  <c r="H95" i="10" s="1"/>
  <c r="G94" i="10"/>
  <c r="G95" i="10" s="1"/>
  <c r="F93" i="10"/>
  <c r="F94" i="10" s="1"/>
  <c r="D93" i="10"/>
  <c r="D94" i="10" s="1"/>
  <c r="B24" i="20" s="1"/>
  <c r="N92" i="10"/>
  <c r="M92" i="10"/>
  <c r="L90" i="10"/>
  <c r="L91" i="10" s="1"/>
  <c r="F34" i="34" s="1"/>
  <c r="K91" i="10"/>
  <c r="K92" i="10" s="1"/>
  <c r="J90" i="10"/>
  <c r="J91" i="10" s="1"/>
  <c r="I91" i="10"/>
  <c r="I92" i="10" s="1"/>
  <c r="H90" i="10"/>
  <c r="H91" i="10" s="1"/>
  <c r="D34" i="34" s="1"/>
  <c r="G91" i="10"/>
  <c r="G92" i="10" s="1"/>
  <c r="F90" i="10"/>
  <c r="F91" i="10" s="1"/>
  <c r="D90" i="10"/>
  <c r="D91" i="10" s="1"/>
  <c r="B34" i="34" s="1"/>
  <c r="N89" i="10"/>
  <c r="M89" i="10"/>
  <c r="L87" i="10"/>
  <c r="L88" i="10" s="1"/>
  <c r="L89" i="10" s="1"/>
  <c r="K88" i="10"/>
  <c r="K89" i="10" s="1"/>
  <c r="J87" i="10"/>
  <c r="J88" i="10" s="1"/>
  <c r="J89" i="10" s="1"/>
  <c r="I88" i="10"/>
  <c r="I89" i="10" s="1"/>
  <c r="H87" i="10"/>
  <c r="H88" i="10" s="1"/>
  <c r="D22" i="20" s="1"/>
  <c r="G88" i="10"/>
  <c r="G89" i="10" s="1"/>
  <c r="E88" i="10"/>
  <c r="E89" i="10" s="1"/>
  <c r="D87" i="10"/>
  <c r="D88" i="10" s="1"/>
  <c r="D89" i="10" s="1"/>
  <c r="O86" i="10"/>
  <c r="N86" i="10"/>
  <c r="M86" i="10"/>
  <c r="L84" i="10"/>
  <c r="L85" i="10" s="1"/>
  <c r="F21" i="20" s="1"/>
  <c r="K85" i="10"/>
  <c r="K86" i="10" s="1"/>
  <c r="J84" i="10"/>
  <c r="J85" i="10" s="1"/>
  <c r="I85" i="10"/>
  <c r="I86" i="10" s="1"/>
  <c r="H84" i="10"/>
  <c r="H85" i="10" s="1"/>
  <c r="D33" i="34" s="1"/>
  <c r="G85" i="10"/>
  <c r="G86" i="10" s="1"/>
  <c r="F84" i="10"/>
  <c r="F85" i="10" s="1"/>
  <c r="D84" i="10"/>
  <c r="D85" i="10" s="1"/>
  <c r="B33" i="34" s="1"/>
  <c r="O83" i="10"/>
  <c r="N83" i="10"/>
  <c r="M83" i="10"/>
  <c r="L81" i="10"/>
  <c r="L82" i="10" s="1"/>
  <c r="K82" i="10"/>
  <c r="K83" i="10" s="1"/>
  <c r="J81" i="10"/>
  <c r="J82" i="10" s="1"/>
  <c r="I82" i="10"/>
  <c r="I83" i="10" s="1"/>
  <c r="H81" i="10"/>
  <c r="H82" i="10" s="1"/>
  <c r="G82" i="10"/>
  <c r="G83" i="10" s="1"/>
  <c r="F81" i="10"/>
  <c r="F82" i="10" s="1"/>
  <c r="C20" i="20" s="1"/>
  <c r="D81" i="10"/>
  <c r="D82" i="10" s="1"/>
  <c r="N80" i="10"/>
  <c r="M80" i="10"/>
  <c r="L78" i="10"/>
  <c r="L79" i="10" s="1"/>
  <c r="F19" i="20" s="1"/>
  <c r="K79" i="10"/>
  <c r="K80" i="10" s="1"/>
  <c r="J78" i="10"/>
  <c r="J79" i="10" s="1"/>
  <c r="J80" i="10" s="1"/>
  <c r="I79" i="10"/>
  <c r="I80" i="10" s="1"/>
  <c r="H78" i="10"/>
  <c r="H79" i="10" s="1"/>
  <c r="D19" i="20" s="1"/>
  <c r="G79" i="10"/>
  <c r="G80" i="10" s="1"/>
  <c r="F78" i="10"/>
  <c r="F79" i="10" s="1"/>
  <c r="C19" i="20" s="1"/>
  <c r="D78" i="10"/>
  <c r="D79" i="10" s="1"/>
  <c r="N77" i="10"/>
  <c r="M77" i="10"/>
  <c r="L75" i="10"/>
  <c r="L76" i="10" s="1"/>
  <c r="K76" i="10"/>
  <c r="K77" i="10" s="1"/>
  <c r="J75" i="10"/>
  <c r="J76" i="10" s="1"/>
  <c r="E26" i="34" s="1"/>
  <c r="I76" i="10"/>
  <c r="I77" i="10" s="1"/>
  <c r="H75" i="10"/>
  <c r="H76" i="10" s="1"/>
  <c r="D26" i="34" s="1"/>
  <c r="G76" i="10"/>
  <c r="G77" i="10" s="1"/>
  <c r="F75" i="10"/>
  <c r="F76" i="10" s="1"/>
  <c r="C26" i="34" s="1"/>
  <c r="D75" i="10"/>
  <c r="D76" i="10" s="1"/>
  <c r="N74" i="10"/>
  <c r="M74" i="10"/>
  <c r="L72" i="10"/>
  <c r="L73" i="10" s="1"/>
  <c r="F17" i="20" s="1"/>
  <c r="K73" i="10"/>
  <c r="K74" i="10" s="1"/>
  <c r="J72" i="10"/>
  <c r="J73" i="10" s="1"/>
  <c r="I73" i="10"/>
  <c r="I74" i="10" s="1"/>
  <c r="H72" i="10"/>
  <c r="H73" i="10" s="1"/>
  <c r="G73" i="10"/>
  <c r="G74" i="10" s="1"/>
  <c r="F72" i="10"/>
  <c r="F73" i="10" s="1"/>
  <c r="C17" i="20" s="1"/>
  <c r="D72" i="10"/>
  <c r="D73" i="10" s="1"/>
  <c r="N71" i="10"/>
  <c r="M71" i="10"/>
  <c r="L69" i="10"/>
  <c r="L70" i="10" s="1"/>
  <c r="K70" i="10"/>
  <c r="K71" i="10" s="1"/>
  <c r="J69" i="10"/>
  <c r="J70" i="10" s="1"/>
  <c r="E25" i="34" s="1"/>
  <c r="I70" i="10"/>
  <c r="I71" i="10" s="1"/>
  <c r="H69" i="10"/>
  <c r="H70" i="10" s="1"/>
  <c r="D25" i="34" s="1"/>
  <c r="G70" i="10"/>
  <c r="G71" i="10" s="1"/>
  <c r="F69" i="10"/>
  <c r="F70" i="10" s="1"/>
  <c r="D69" i="10"/>
  <c r="D70" i="10" s="1"/>
  <c r="O68" i="10"/>
  <c r="N68" i="10"/>
  <c r="M68" i="10"/>
  <c r="L66" i="10"/>
  <c r="L67" i="10" s="1"/>
  <c r="K67" i="10"/>
  <c r="K68" i="10" s="1"/>
  <c r="J66" i="10"/>
  <c r="J67" i="10" s="1"/>
  <c r="E14" i="33" s="1"/>
  <c r="E15" i="33" s="1"/>
  <c r="I67" i="10"/>
  <c r="I68" i="10" s="1"/>
  <c r="H66" i="10"/>
  <c r="H67" i="10" s="1"/>
  <c r="D15" i="20" s="1"/>
  <c r="G67" i="10"/>
  <c r="G68" i="10" s="1"/>
  <c r="F66" i="10"/>
  <c r="F67" i="10" s="1"/>
  <c r="C15" i="20" s="1"/>
  <c r="D66" i="10"/>
  <c r="D67" i="10" s="1"/>
  <c r="N65" i="10"/>
  <c r="M65" i="10"/>
  <c r="K64" i="10"/>
  <c r="K65" i="10" s="1"/>
  <c r="I64" i="10"/>
  <c r="I65" i="10" s="1"/>
  <c r="G64" i="10"/>
  <c r="G65" i="10" s="1"/>
  <c r="N62" i="10"/>
  <c r="M62" i="10"/>
  <c r="L60" i="10"/>
  <c r="L61" i="10" s="1"/>
  <c r="F13" i="20" s="1"/>
  <c r="K61" i="10"/>
  <c r="K62" i="10" s="1"/>
  <c r="J60" i="10"/>
  <c r="J61" i="10" s="1"/>
  <c r="J62" i="10" s="1"/>
  <c r="I61" i="10"/>
  <c r="I62" i="10" s="1"/>
  <c r="H60" i="10"/>
  <c r="H61" i="10" s="1"/>
  <c r="G61" i="10"/>
  <c r="G62" i="10" s="1"/>
  <c r="F60" i="10"/>
  <c r="F61" i="10" s="1"/>
  <c r="C13" i="20" s="1"/>
  <c r="N59" i="10"/>
  <c r="M59" i="10"/>
  <c r="L57" i="10"/>
  <c r="L58" i="10" s="1"/>
  <c r="F23" i="34" s="1"/>
  <c r="K58" i="10"/>
  <c r="K59" i="10" s="1"/>
  <c r="J57" i="10"/>
  <c r="J58" i="10" s="1"/>
  <c r="I58" i="10"/>
  <c r="I59" i="10" s="1"/>
  <c r="H57" i="10"/>
  <c r="H58" i="10" s="1"/>
  <c r="H59" i="10" s="1"/>
  <c r="G58" i="10"/>
  <c r="G59" i="10" s="1"/>
  <c r="F57" i="10"/>
  <c r="F58" i="10" s="1"/>
  <c r="N56" i="10"/>
  <c r="M56" i="10"/>
  <c r="K55" i="10"/>
  <c r="K56" i="10" s="1"/>
  <c r="I55" i="10"/>
  <c r="I56" i="10" s="1"/>
  <c r="G55" i="10"/>
  <c r="G56" i="10" s="1"/>
  <c r="N53" i="10"/>
  <c r="M53" i="10"/>
  <c r="L51" i="10"/>
  <c r="L52" i="10" s="1"/>
  <c r="F22" i="34" s="1"/>
  <c r="K52" i="10"/>
  <c r="K53" i="10" s="1"/>
  <c r="J51" i="10"/>
  <c r="J52" i="10" s="1"/>
  <c r="E22" i="34" s="1"/>
  <c r="I52" i="10"/>
  <c r="I53" i="10" s="1"/>
  <c r="H51" i="10"/>
  <c r="H52" i="10" s="1"/>
  <c r="D22" i="34" s="1"/>
  <c r="G52" i="10"/>
  <c r="G53" i="10" s="1"/>
  <c r="F51" i="10"/>
  <c r="F52" i="10" s="1"/>
  <c r="C22" i="34" s="1"/>
  <c r="N50" i="10"/>
  <c r="M50" i="10"/>
  <c r="L48" i="10"/>
  <c r="L49" i="10" s="1"/>
  <c r="K49" i="10"/>
  <c r="K50" i="10" s="1"/>
  <c r="J48" i="10"/>
  <c r="J49" i="10" s="1"/>
  <c r="I49" i="10"/>
  <c r="I50" i="10" s="1"/>
  <c r="H48" i="10"/>
  <c r="H49" i="10" s="1"/>
  <c r="G49" i="10"/>
  <c r="G50" i="10" s="1"/>
  <c r="F48" i="10"/>
  <c r="F49" i="10" s="1"/>
  <c r="D48" i="10"/>
  <c r="D49" i="10" s="1"/>
  <c r="B9" i="20" s="1"/>
  <c r="N47" i="10"/>
  <c r="M47" i="10"/>
  <c r="K46" i="10"/>
  <c r="K47" i="10" s="1"/>
  <c r="I46" i="10"/>
  <c r="I47" i="10" s="1"/>
  <c r="F24" i="24"/>
  <c r="C10" i="24" s="1"/>
  <c r="C18" i="24" s="1"/>
  <c r="G46" i="10"/>
  <c r="G47" i="10" s="1"/>
  <c r="O42" i="10"/>
  <c r="O43" i="10" s="1"/>
  <c r="N44" i="10"/>
  <c r="M44" i="10"/>
  <c r="L42" i="10"/>
  <c r="L43" i="10" s="1"/>
  <c r="K43" i="10"/>
  <c r="K44" i="10" s="1"/>
  <c r="J42" i="10"/>
  <c r="J43" i="10" s="1"/>
  <c r="I43" i="10"/>
  <c r="I44" i="10" s="1"/>
  <c r="H42" i="10"/>
  <c r="H43" i="10" s="1"/>
  <c r="G43" i="10"/>
  <c r="G44" i="10" s="1"/>
  <c r="F42" i="10"/>
  <c r="F43" i="10" s="1"/>
  <c r="D42" i="10"/>
  <c r="D43" i="10" s="1"/>
  <c r="O36" i="10"/>
  <c r="O37" i="10" s="1"/>
  <c r="N38" i="10"/>
  <c r="M38" i="10"/>
  <c r="L36" i="10"/>
  <c r="L37" i="10" s="1"/>
  <c r="K37" i="10"/>
  <c r="K38" i="10" s="1"/>
  <c r="J36" i="10"/>
  <c r="J37" i="10" s="1"/>
  <c r="I37" i="10"/>
  <c r="I38" i="10" s="1"/>
  <c r="H36" i="10"/>
  <c r="H37" i="10" s="1"/>
  <c r="G37" i="10"/>
  <c r="G38" i="10" s="1"/>
  <c r="F36" i="10"/>
  <c r="F37" i="10" s="1"/>
  <c r="D36" i="10"/>
  <c r="D37" i="10" s="1"/>
  <c r="O33" i="10"/>
  <c r="O34" i="10" s="1"/>
  <c r="N35" i="10"/>
  <c r="M35" i="10"/>
  <c r="L33" i="10"/>
  <c r="L34" i="10" s="1"/>
  <c r="K34" i="10"/>
  <c r="K35" i="10" s="1"/>
  <c r="J33" i="10"/>
  <c r="J34" i="10" s="1"/>
  <c r="I34" i="10"/>
  <c r="I35" i="10" s="1"/>
  <c r="H33" i="10"/>
  <c r="H34" i="10" s="1"/>
  <c r="G34" i="10"/>
  <c r="G35" i="10" s="1"/>
  <c r="F33" i="10"/>
  <c r="F34" i="10" s="1"/>
  <c r="D33" i="10"/>
  <c r="D34" i="10" s="1"/>
  <c r="O30" i="10"/>
  <c r="O31" i="10" s="1"/>
  <c r="N32" i="10"/>
  <c r="M32" i="10"/>
  <c r="L30" i="10"/>
  <c r="L31" i="10" s="1"/>
  <c r="K31" i="10"/>
  <c r="K32" i="10" s="1"/>
  <c r="J30" i="10"/>
  <c r="J31" i="10" s="1"/>
  <c r="I31" i="10"/>
  <c r="I32" i="10" s="1"/>
  <c r="H30" i="10"/>
  <c r="H31" i="10" s="1"/>
  <c r="G31" i="10"/>
  <c r="G32" i="10" s="1"/>
  <c r="F30" i="10"/>
  <c r="F31" i="10" s="1"/>
  <c r="D30" i="10"/>
  <c r="D31" i="10" s="1"/>
  <c r="O27" i="10"/>
  <c r="O28" i="10" s="1"/>
  <c r="O29" i="10" s="1"/>
  <c r="N29" i="10"/>
  <c r="M29" i="10"/>
  <c r="L27" i="10"/>
  <c r="L28" i="10" s="1"/>
  <c r="L29" i="10" s="1"/>
  <c r="K28" i="10"/>
  <c r="K29" i="10" s="1"/>
  <c r="J27" i="10"/>
  <c r="J28" i="10" s="1"/>
  <c r="J29" i="10" s="1"/>
  <c r="I28" i="10"/>
  <c r="I29" i="10" s="1"/>
  <c r="H27" i="10"/>
  <c r="H28" i="10" s="1"/>
  <c r="H29" i="10" s="1"/>
  <c r="G28" i="10"/>
  <c r="G29" i="10" s="1"/>
  <c r="F27" i="10"/>
  <c r="F28" i="10" s="1"/>
  <c r="F29" i="10" s="1"/>
  <c r="D27" i="10"/>
  <c r="D28" i="10" s="1"/>
  <c r="D29" i="10" s="1"/>
  <c r="O24" i="10"/>
  <c r="O25" i="10" s="1"/>
  <c r="O26" i="10" s="1"/>
  <c r="N26" i="10"/>
  <c r="M26" i="10"/>
  <c r="L24" i="10"/>
  <c r="L25" i="10" s="1"/>
  <c r="L26" i="10" s="1"/>
  <c r="K25" i="10"/>
  <c r="K26" i="10" s="1"/>
  <c r="J24" i="10"/>
  <c r="J25" i="10" s="1"/>
  <c r="J26" i="10" s="1"/>
  <c r="I25" i="10"/>
  <c r="I26" i="10" s="1"/>
  <c r="H24" i="10"/>
  <c r="H25" i="10" s="1"/>
  <c r="H26" i="10" s="1"/>
  <c r="G25" i="10"/>
  <c r="G26" i="10" s="1"/>
  <c r="F24" i="10"/>
  <c r="F25" i="10" s="1"/>
  <c r="F26" i="10" s="1"/>
  <c r="D24" i="10"/>
  <c r="D25" i="10" s="1"/>
  <c r="D26" i="10" s="1"/>
  <c r="O21" i="10"/>
  <c r="O22" i="10" s="1"/>
  <c r="O23" i="10" s="1"/>
  <c r="N23" i="10"/>
  <c r="M23" i="10"/>
  <c r="L21" i="10"/>
  <c r="L22" i="10" s="1"/>
  <c r="L23" i="10" s="1"/>
  <c r="K22" i="10"/>
  <c r="K23" i="10" s="1"/>
  <c r="J21" i="10"/>
  <c r="J22" i="10" s="1"/>
  <c r="J23" i="10" s="1"/>
  <c r="I22" i="10"/>
  <c r="I23" i="10" s="1"/>
  <c r="H21" i="10"/>
  <c r="H22" i="10" s="1"/>
  <c r="H23" i="10" s="1"/>
  <c r="G22" i="10"/>
  <c r="G23" i="10" s="1"/>
  <c r="F21" i="10"/>
  <c r="F22" i="10" s="1"/>
  <c r="F23" i="10" s="1"/>
  <c r="D21" i="10"/>
  <c r="D22" i="10" s="1"/>
  <c r="D23" i="10" s="1"/>
  <c r="O18" i="10"/>
  <c r="O19" i="10" s="1"/>
  <c r="O20" i="10" s="1"/>
  <c r="N20" i="10"/>
  <c r="M20" i="10"/>
  <c r="L18" i="10"/>
  <c r="L19" i="10" s="1"/>
  <c r="L20" i="10" s="1"/>
  <c r="K19" i="10"/>
  <c r="K20" i="10" s="1"/>
  <c r="J18" i="10"/>
  <c r="J19" i="10" s="1"/>
  <c r="J20" i="10" s="1"/>
  <c r="I19" i="10"/>
  <c r="I20" i="10" s="1"/>
  <c r="H18" i="10"/>
  <c r="H19" i="10" s="1"/>
  <c r="H20" i="10" s="1"/>
  <c r="G19" i="10"/>
  <c r="G20" i="10" s="1"/>
  <c r="F18" i="10"/>
  <c r="F19" i="10" s="1"/>
  <c r="F20" i="10" s="1"/>
  <c r="D18" i="10"/>
  <c r="D19" i="10" s="1"/>
  <c r="D20" i="10" s="1"/>
  <c r="O15" i="10"/>
  <c r="O16" i="10" s="1"/>
  <c r="O17" i="10" s="1"/>
  <c r="N17" i="10"/>
  <c r="M17" i="10"/>
  <c r="L15" i="10"/>
  <c r="L16" i="10" s="1"/>
  <c r="L17" i="10" s="1"/>
  <c r="K16" i="10"/>
  <c r="K17" i="10" s="1"/>
  <c r="J15" i="10"/>
  <c r="J16" i="10" s="1"/>
  <c r="J17" i="10" s="1"/>
  <c r="I16" i="10"/>
  <c r="I17" i="10" s="1"/>
  <c r="H15" i="10"/>
  <c r="H16" i="10" s="1"/>
  <c r="H17" i="10" s="1"/>
  <c r="G16" i="10"/>
  <c r="G17" i="10" s="1"/>
  <c r="F15" i="10"/>
  <c r="F16" i="10" s="1"/>
  <c r="F17" i="10" s="1"/>
  <c r="D15" i="10"/>
  <c r="D16" i="10" s="1"/>
  <c r="D17" i="10" s="1"/>
  <c r="O12" i="10"/>
  <c r="O13" i="10" s="1"/>
  <c r="O14" i="10" s="1"/>
  <c r="N14" i="10"/>
  <c r="M14" i="10"/>
  <c r="L12" i="10"/>
  <c r="L13" i="10" s="1"/>
  <c r="L14" i="10" s="1"/>
  <c r="K13" i="10"/>
  <c r="K14" i="10" s="1"/>
  <c r="J12" i="10"/>
  <c r="J13" i="10" s="1"/>
  <c r="J14" i="10" s="1"/>
  <c r="I13" i="10"/>
  <c r="I14" i="10" s="1"/>
  <c r="H12" i="10"/>
  <c r="H13" i="10" s="1"/>
  <c r="H14" i="10" s="1"/>
  <c r="G13" i="10"/>
  <c r="G14" i="10" s="1"/>
  <c r="F12" i="10"/>
  <c r="F13" i="10" s="1"/>
  <c r="F14" i="10" s="1"/>
  <c r="D12" i="10"/>
  <c r="D13" i="10" s="1"/>
  <c r="D14" i="10" s="1"/>
  <c r="O9" i="10"/>
  <c r="O10" i="10" s="1"/>
  <c r="O11" i="10" s="1"/>
  <c r="N11" i="10"/>
  <c r="M11" i="10"/>
  <c r="L9" i="10"/>
  <c r="L10" i="10" s="1"/>
  <c r="L11" i="10" s="1"/>
  <c r="K10" i="10"/>
  <c r="K11" i="10" s="1"/>
  <c r="J9" i="10"/>
  <c r="J10" i="10" s="1"/>
  <c r="J11" i="10" s="1"/>
  <c r="I10" i="10"/>
  <c r="I11" i="10" s="1"/>
  <c r="H9" i="10"/>
  <c r="H10" i="10" s="1"/>
  <c r="H11" i="10" s="1"/>
  <c r="G10" i="10"/>
  <c r="G11" i="10" s="1"/>
  <c r="F9" i="10"/>
  <c r="F10" i="10" s="1"/>
  <c r="F11" i="10" s="1"/>
  <c r="D9" i="10"/>
  <c r="D10" i="10" s="1"/>
  <c r="D11" i="10" s="1"/>
  <c r="O6" i="10"/>
  <c r="O7" i="10" s="1"/>
  <c r="O8" i="10" s="1"/>
  <c r="N8" i="10"/>
  <c r="M8" i="10"/>
  <c r="L6" i="10"/>
  <c r="L7" i="10" s="1"/>
  <c r="L8" i="10" s="1"/>
  <c r="K7" i="10"/>
  <c r="K8" i="10" s="1"/>
  <c r="J6" i="10"/>
  <c r="J7" i="10" s="1"/>
  <c r="J8" i="10" s="1"/>
  <c r="I7" i="10"/>
  <c r="I8" i="10" s="1"/>
  <c r="H6" i="10"/>
  <c r="H7" i="10" s="1"/>
  <c r="H8" i="10" s="1"/>
  <c r="G7" i="10"/>
  <c r="G8" i="10" s="1"/>
  <c r="F6" i="10"/>
  <c r="F7" i="10" s="1"/>
  <c r="F8" i="10" s="1"/>
  <c r="D6" i="10"/>
  <c r="D7" i="10" s="1"/>
  <c r="D8" i="10" s="1"/>
  <c r="F25" i="24"/>
  <c r="C174" i="1"/>
  <c r="E174" i="1" s="1"/>
  <c r="C173" i="1"/>
  <c r="E173" i="1" s="1"/>
  <c r="C172" i="1"/>
  <c r="C171" i="1"/>
  <c r="E171" i="1" s="1"/>
  <c r="C170" i="1"/>
  <c r="C166" i="1"/>
  <c r="F166" i="1" s="1"/>
  <c r="G166" i="1" s="1"/>
  <c r="H166" i="1" s="1"/>
  <c r="C168" i="1"/>
  <c r="C167" i="1"/>
  <c r="C165" i="1"/>
  <c r="E165" i="1" s="1"/>
  <c r="C164" i="1"/>
  <c r="E164" i="1" s="1"/>
  <c r="C163" i="1"/>
  <c r="C162" i="1"/>
  <c r="C161" i="1"/>
  <c r="C160" i="1"/>
  <c r="E160" i="1" s="1"/>
  <c r="C134" i="1"/>
  <c r="E134" i="1" s="1"/>
  <c r="C146" i="1"/>
  <c r="E146" i="1" s="1"/>
  <c r="C145" i="1"/>
  <c r="C140" i="1"/>
  <c r="C139" i="1"/>
  <c r="F139" i="1" s="1"/>
  <c r="G139" i="1" s="1"/>
  <c r="H139" i="1" s="1"/>
  <c r="C138" i="1"/>
  <c r="C142" i="1" s="1"/>
  <c r="C137" i="1"/>
  <c r="E137" i="1" s="1"/>
  <c r="C136" i="1"/>
  <c r="E136" i="1" s="1"/>
  <c r="C135" i="1"/>
  <c r="C133" i="1"/>
  <c r="E133" i="1" s="1"/>
  <c r="I58" i="24"/>
  <c r="I57" i="24"/>
  <c r="I52" i="24"/>
  <c r="I51" i="24"/>
  <c r="I46" i="24"/>
  <c r="I45" i="24"/>
  <c r="I40" i="24"/>
  <c r="I39" i="24"/>
  <c r="I34" i="24"/>
  <c r="I33" i="24"/>
  <c r="I32" i="24"/>
  <c r="I31" i="24"/>
  <c r="I30" i="24"/>
  <c r="F23" i="24"/>
  <c r="G109" i="20"/>
  <c r="G108" i="20"/>
  <c r="F107" i="20"/>
  <c r="G95" i="20"/>
  <c r="C21" i="16"/>
  <c r="D21" i="16"/>
  <c r="C11" i="16"/>
  <c r="D11" i="16" s="1"/>
  <c r="E11" i="16" s="1"/>
  <c r="C10" i="16"/>
  <c r="D10" i="16" s="1"/>
  <c r="E10" i="16" s="1"/>
  <c r="C9" i="16"/>
  <c r="D9" i="16"/>
  <c r="E9" i="16" s="1"/>
  <c r="C8" i="16"/>
  <c r="D8" i="16" s="1"/>
  <c r="E8" i="16" s="1"/>
  <c r="B22" i="16"/>
  <c r="C22" i="16" s="1"/>
  <c r="D22" i="16" s="1"/>
  <c r="E22" i="16" s="1"/>
  <c r="D15" i="16"/>
  <c r="C15" i="16"/>
  <c r="B17" i="16"/>
  <c r="C17" i="16" s="1"/>
  <c r="D17" i="16" s="1"/>
  <c r="E17" i="16" s="1"/>
  <c r="B16" i="16"/>
  <c r="C16" i="16" s="1"/>
  <c r="D16" i="16" s="1"/>
  <c r="E16" i="16" s="1"/>
  <c r="D7" i="16"/>
  <c r="E7" i="16"/>
  <c r="F29" i="13"/>
  <c r="E29" i="13"/>
  <c r="D28" i="13"/>
  <c r="F28" i="13" s="1"/>
  <c r="C28" i="13"/>
  <c r="E28" i="13" s="1"/>
  <c r="D27" i="13"/>
  <c r="F27" i="13" s="1"/>
  <c r="C27" i="13"/>
  <c r="E27" i="13" s="1"/>
  <c r="D25" i="13"/>
  <c r="F25" i="13" s="1"/>
  <c r="D26" i="13"/>
  <c r="F26" i="13" s="1"/>
  <c r="C26" i="13"/>
  <c r="E26" i="13" s="1"/>
  <c r="D24" i="13"/>
  <c r="C24" i="13"/>
  <c r="E24" i="13" s="1"/>
  <c r="D23" i="13"/>
  <c r="F23" i="13" s="1"/>
  <c r="E23" i="13"/>
  <c r="D22" i="13"/>
  <c r="F22" i="13" s="1"/>
  <c r="C25" i="13"/>
  <c r="E25" i="13" s="1"/>
  <c r="F21" i="13"/>
  <c r="F29" i="1"/>
  <c r="I29" i="1"/>
  <c r="H29" i="1"/>
  <c r="G29" i="1"/>
  <c r="E29" i="1"/>
  <c r="D29" i="1"/>
  <c r="H109" i="1"/>
  <c r="A52" i="13"/>
  <c r="E38" i="13"/>
  <c r="E37" i="13"/>
  <c r="F24" i="13"/>
  <c r="E22" i="13"/>
  <c r="F12" i="13"/>
  <c r="E12" i="13"/>
  <c r="F11" i="13"/>
  <c r="E11" i="13"/>
  <c r="F10" i="13"/>
  <c r="A121" i="1"/>
  <c r="D101" i="1"/>
  <c r="E19" i="10"/>
  <c r="E16" i="10"/>
  <c r="E13" i="10"/>
  <c r="E11" i="10"/>
  <c r="E157" i="10"/>
  <c r="E154" i="10"/>
  <c r="E151" i="10"/>
  <c r="E148" i="10"/>
  <c r="E145" i="10"/>
  <c r="E142" i="10"/>
  <c r="E139" i="10"/>
  <c r="E136" i="10"/>
  <c r="E133" i="10"/>
  <c r="E130" i="10"/>
  <c r="E127" i="10"/>
  <c r="E124" i="10"/>
  <c r="E121" i="10"/>
  <c r="E118" i="10"/>
  <c r="E115" i="10"/>
  <c r="E112" i="10"/>
  <c r="E109" i="10"/>
  <c r="E106" i="10"/>
  <c r="E103" i="10"/>
  <c r="E100" i="10"/>
  <c r="E97" i="10"/>
  <c r="E94" i="10"/>
  <c r="E91" i="10"/>
  <c r="E85" i="10"/>
  <c r="E82" i="10"/>
  <c r="E79" i="10"/>
  <c r="E76" i="10"/>
  <c r="E73" i="10"/>
  <c r="E70" i="10"/>
  <c r="E67" i="10"/>
  <c r="E64" i="10"/>
  <c r="E61" i="10"/>
  <c r="E58" i="10"/>
  <c r="E55" i="10"/>
  <c r="E52" i="10"/>
  <c r="E49" i="10"/>
  <c r="E46" i="10"/>
  <c r="E43" i="10"/>
  <c r="E37" i="10"/>
  <c r="E34" i="10"/>
  <c r="E31" i="10"/>
  <c r="E28" i="10"/>
  <c r="E25" i="10"/>
  <c r="E22" i="10"/>
  <c r="C158" i="10"/>
  <c r="C155" i="10"/>
  <c r="C152" i="10"/>
  <c r="C149" i="10"/>
  <c r="C146" i="10"/>
  <c r="C143" i="10"/>
  <c r="C140" i="10"/>
  <c r="C137" i="10"/>
  <c r="C134" i="10"/>
  <c r="C131" i="10"/>
  <c r="C128" i="10"/>
  <c r="C125" i="10"/>
  <c r="C122" i="10"/>
  <c r="C119" i="10"/>
  <c r="C116" i="10"/>
  <c r="C113" i="10"/>
  <c r="C110" i="10"/>
  <c r="C107" i="10"/>
  <c r="C104" i="10"/>
  <c r="C101" i="10"/>
  <c r="C98" i="10"/>
  <c r="C95" i="10"/>
  <c r="C92" i="10"/>
  <c r="C89" i="10"/>
  <c r="C86" i="10"/>
  <c r="C83" i="10"/>
  <c r="C80" i="10"/>
  <c r="C77" i="10"/>
  <c r="C74" i="10"/>
  <c r="C68" i="10"/>
  <c r="C65" i="10"/>
  <c r="C62" i="10"/>
  <c r="C59" i="10"/>
  <c r="C56" i="10"/>
  <c r="C53" i="10"/>
  <c r="C50" i="10"/>
  <c r="C47" i="10"/>
  <c r="C44" i="10"/>
  <c r="C41" i="10"/>
  <c r="C38" i="10"/>
  <c r="C35" i="10"/>
  <c r="C32" i="10"/>
  <c r="C29" i="10"/>
  <c r="C26" i="10"/>
  <c r="C22" i="10"/>
  <c r="C19" i="10"/>
  <c r="C16" i="10"/>
  <c r="C13" i="10"/>
  <c r="C11" i="10"/>
  <c r="E7" i="10"/>
  <c r="C7" i="10"/>
  <c r="B52" i="1"/>
  <c r="B61" i="1" s="1"/>
  <c r="H88" i="1"/>
  <c r="H70" i="1"/>
  <c r="G70" i="1"/>
  <c r="H76" i="1"/>
  <c r="H82" i="1" s="1"/>
  <c r="H19" i="1"/>
  <c r="H9" i="1"/>
  <c r="I70" i="1"/>
  <c r="F44" i="1"/>
  <c r="E21" i="11"/>
  <c r="A148" i="1"/>
  <c r="F158" i="1"/>
  <c r="F131" i="1"/>
  <c r="I76" i="1"/>
  <c r="I88" i="1"/>
  <c r="D44" i="1"/>
  <c r="B44" i="1"/>
  <c r="E19" i="1"/>
  <c r="D9" i="1"/>
  <c r="G9" i="1"/>
  <c r="E9" i="1"/>
  <c r="H9" i="11"/>
  <c r="F9" i="11"/>
  <c r="D9" i="11"/>
  <c r="B9" i="11"/>
  <c r="D17" i="20"/>
  <c r="H74" i="10"/>
  <c r="O80" i="10"/>
  <c r="D47" i="10"/>
  <c r="H92" i="10"/>
  <c r="D23" i="20"/>
  <c r="H56" i="10"/>
  <c r="O59" i="10"/>
  <c r="E22" i="20"/>
  <c r="E19" i="20"/>
  <c r="O116" i="10"/>
  <c r="F116" i="10"/>
  <c r="O65" i="10"/>
  <c r="G11" i="32"/>
  <c r="I11" i="32" s="1"/>
  <c r="G14" i="20"/>
  <c r="H14" i="20" s="1"/>
  <c r="C22" i="20"/>
  <c r="F89" i="10"/>
  <c r="D128" i="10" l="1"/>
  <c r="B35" i="20"/>
  <c r="E45" i="34"/>
  <c r="E36" i="20"/>
  <c r="L137" i="10"/>
  <c r="F41" i="20"/>
  <c r="F143" i="10"/>
  <c r="C42" i="20"/>
  <c r="F128" i="10"/>
  <c r="C35" i="20"/>
  <c r="D137" i="10"/>
  <c r="B41" i="20"/>
  <c r="O143" i="10"/>
  <c r="G42" i="20"/>
  <c r="H42" i="20" s="1"/>
  <c r="G11" i="24"/>
  <c r="J11" i="24" s="1"/>
  <c r="H11" i="24" s="1"/>
  <c r="G12" i="33"/>
  <c r="O128" i="10"/>
  <c r="G35" i="20"/>
  <c r="H35" i="20" s="1"/>
  <c r="F137" i="10"/>
  <c r="C41" i="20"/>
  <c r="H143" i="10"/>
  <c r="D42" i="20"/>
  <c r="G16" i="34"/>
  <c r="J16" i="34" s="1"/>
  <c r="G10" i="33"/>
  <c r="J10" i="33" s="1"/>
  <c r="H10" i="33" s="1"/>
  <c r="H128" i="10"/>
  <c r="D35" i="20"/>
  <c r="G41" i="20"/>
  <c r="C45" i="34"/>
  <c r="C36" i="20"/>
  <c r="H137" i="10"/>
  <c r="D41" i="20"/>
  <c r="J143" i="10"/>
  <c r="E42" i="20"/>
  <c r="J128" i="10"/>
  <c r="E35" i="20"/>
  <c r="O131" i="10"/>
  <c r="G36" i="20"/>
  <c r="H36" i="20" s="1"/>
  <c r="J137" i="10"/>
  <c r="E41" i="20"/>
  <c r="L143" i="10"/>
  <c r="F42" i="20"/>
  <c r="L128" i="10"/>
  <c r="F35" i="20"/>
  <c r="D143" i="10"/>
  <c r="B42" i="20"/>
  <c r="F44" i="34"/>
  <c r="F34" i="20"/>
  <c r="B44" i="34"/>
  <c r="B34" i="20"/>
  <c r="C44" i="34"/>
  <c r="C34" i="20"/>
  <c r="G44" i="34"/>
  <c r="J44" i="34" s="1"/>
  <c r="H44" i="34" s="1"/>
  <c r="G34" i="20"/>
  <c r="H34" i="20" s="1"/>
  <c r="D44" i="34"/>
  <c r="D34" i="20"/>
  <c r="G8" i="20"/>
  <c r="H8" i="20" s="1"/>
  <c r="E32" i="20"/>
  <c r="F160" i="1"/>
  <c r="G160" i="1" s="1"/>
  <c r="H160" i="1" s="1"/>
  <c r="O122" i="10"/>
  <c r="H122" i="10"/>
  <c r="J122" i="10"/>
  <c r="D122" i="10"/>
  <c r="F12" i="20"/>
  <c r="L122" i="10"/>
  <c r="F122" i="10"/>
  <c r="C141" i="1"/>
  <c r="F141" i="1" s="1"/>
  <c r="G141" i="1" s="1"/>
  <c r="H141" i="1" s="1"/>
  <c r="F43" i="20"/>
  <c r="J12" i="33"/>
  <c r="H12" i="33" s="1"/>
  <c r="F31" i="20"/>
  <c r="D125" i="10"/>
  <c r="F23" i="20"/>
  <c r="L92" i="10"/>
  <c r="J131" i="10"/>
  <c r="O47" i="10"/>
  <c r="E142" i="1"/>
  <c r="F142" i="1"/>
  <c r="G142" i="1" s="1"/>
  <c r="H142" i="1" s="1"/>
  <c r="F172" i="1"/>
  <c r="G172" i="1" s="1"/>
  <c r="H172" i="1" s="1"/>
  <c r="E172" i="1"/>
  <c r="F145" i="1"/>
  <c r="G145" i="1" s="1"/>
  <c r="H145" i="1" s="1"/>
  <c r="E145" i="1"/>
  <c r="F167" i="1"/>
  <c r="G167" i="1" s="1"/>
  <c r="H167" i="1" s="1"/>
  <c r="E167" i="1"/>
  <c r="F168" i="1"/>
  <c r="G168" i="1" s="1"/>
  <c r="H168" i="1" s="1"/>
  <c r="E168" i="1"/>
  <c r="C169" i="1"/>
  <c r="E169" i="1" s="1"/>
  <c r="E166" i="1"/>
  <c r="F146" i="1"/>
  <c r="G146" i="1" s="1"/>
  <c r="H146" i="1" s="1"/>
  <c r="F136" i="1"/>
  <c r="G136" i="1" s="1"/>
  <c r="H136" i="1" s="1"/>
  <c r="F161" i="1"/>
  <c r="G161" i="1" s="1"/>
  <c r="H161" i="1" s="1"/>
  <c r="E161" i="1"/>
  <c r="F170" i="1"/>
  <c r="G170" i="1" s="1"/>
  <c r="H170" i="1" s="1"/>
  <c r="E170" i="1"/>
  <c r="C144" i="1"/>
  <c r="E144" i="1" s="1"/>
  <c r="E140" i="1"/>
  <c r="F135" i="1"/>
  <c r="G135" i="1" s="1"/>
  <c r="H135" i="1" s="1"/>
  <c r="E135" i="1"/>
  <c r="F164" i="1"/>
  <c r="G164" i="1" s="1"/>
  <c r="H164" i="1" s="1"/>
  <c r="F138" i="1"/>
  <c r="G138" i="1" s="1"/>
  <c r="H138" i="1" s="1"/>
  <c r="E138" i="1"/>
  <c r="F162" i="1"/>
  <c r="G162" i="1" s="1"/>
  <c r="H162" i="1" s="1"/>
  <c r="E162" i="1"/>
  <c r="F171" i="1"/>
  <c r="G171" i="1" s="1"/>
  <c r="H171" i="1" s="1"/>
  <c r="C143" i="1"/>
  <c r="E143" i="1" s="1"/>
  <c r="E139" i="1"/>
  <c r="F163" i="1"/>
  <c r="G163" i="1" s="1"/>
  <c r="H163" i="1" s="1"/>
  <c r="E163" i="1"/>
  <c r="C43" i="20"/>
  <c r="H80" i="10"/>
  <c r="F125" i="10"/>
  <c r="H68" i="10"/>
  <c r="B23" i="20"/>
  <c r="D87" i="13"/>
  <c r="E87" i="13" s="1"/>
  <c r="F87" i="13" s="1"/>
  <c r="G87" i="13" s="1"/>
  <c r="C87" i="13"/>
  <c r="D83" i="13"/>
  <c r="E83" i="13" s="1"/>
  <c r="F83" i="13" s="1"/>
  <c r="G83" i="13" s="1"/>
  <c r="C83" i="13"/>
  <c r="D79" i="13"/>
  <c r="E79" i="13" s="1"/>
  <c r="F79" i="13" s="1"/>
  <c r="G79" i="13" s="1"/>
  <c r="C79" i="13"/>
  <c r="D75" i="13"/>
  <c r="E75" i="13" s="1"/>
  <c r="F75" i="13" s="1"/>
  <c r="G75" i="13" s="1"/>
  <c r="C75" i="13"/>
  <c r="D90" i="13"/>
  <c r="E90" i="13" s="1"/>
  <c r="F90" i="13" s="1"/>
  <c r="G90" i="13" s="1"/>
  <c r="C90" i="13"/>
  <c r="D86" i="13"/>
  <c r="E86" i="13" s="1"/>
  <c r="F86" i="13" s="1"/>
  <c r="G86" i="13" s="1"/>
  <c r="C86" i="13"/>
  <c r="D82" i="13"/>
  <c r="E82" i="13" s="1"/>
  <c r="F82" i="13" s="1"/>
  <c r="G82" i="13" s="1"/>
  <c r="C82" i="13"/>
  <c r="D78" i="13"/>
  <c r="E78" i="13" s="1"/>
  <c r="F78" i="13" s="1"/>
  <c r="G78" i="13" s="1"/>
  <c r="C78" i="13"/>
  <c r="D74" i="13"/>
  <c r="E74" i="13" s="1"/>
  <c r="F74" i="13" s="1"/>
  <c r="G74" i="13" s="1"/>
  <c r="C74" i="13"/>
  <c r="D77" i="13"/>
  <c r="E77" i="13" s="1"/>
  <c r="F77" i="13" s="1"/>
  <c r="G77" i="13" s="1"/>
  <c r="C77" i="13"/>
  <c r="D73" i="13"/>
  <c r="E73" i="13" s="1"/>
  <c r="F73" i="13" s="1"/>
  <c r="G73" i="13" s="1"/>
  <c r="C73" i="13"/>
  <c r="D85" i="13"/>
  <c r="E85" i="13" s="1"/>
  <c r="F85" i="13" s="1"/>
  <c r="G85" i="13" s="1"/>
  <c r="C85" i="13"/>
  <c r="D88" i="13"/>
  <c r="E88" i="13" s="1"/>
  <c r="F88" i="13" s="1"/>
  <c r="G88" i="13" s="1"/>
  <c r="C88" i="13"/>
  <c r="D84" i="13"/>
  <c r="E84" i="13" s="1"/>
  <c r="F84" i="13" s="1"/>
  <c r="G84" i="13" s="1"/>
  <c r="C84" i="13"/>
  <c r="D80" i="13"/>
  <c r="E80" i="13" s="1"/>
  <c r="F80" i="13" s="1"/>
  <c r="G80" i="13" s="1"/>
  <c r="C80" i="13"/>
  <c r="D76" i="13"/>
  <c r="E76" i="13" s="1"/>
  <c r="F76" i="13" s="1"/>
  <c r="G76" i="13" s="1"/>
  <c r="C76" i="13"/>
  <c r="D72" i="13"/>
  <c r="E72" i="13" s="1"/>
  <c r="F72" i="13" s="1"/>
  <c r="G72" i="13" s="1"/>
  <c r="C72" i="13"/>
  <c r="D65" i="10"/>
  <c r="O101" i="10"/>
  <c r="B22" i="20"/>
  <c r="O113" i="10"/>
  <c r="G10" i="32"/>
  <c r="I10" i="32" s="1"/>
  <c r="O62" i="10"/>
  <c r="O56" i="10"/>
  <c r="G11" i="20"/>
  <c r="H11" i="20" s="1"/>
  <c r="G30" i="20"/>
  <c r="H30" i="20" s="1"/>
  <c r="J95" i="10"/>
  <c r="E24" i="20"/>
  <c r="B10" i="24"/>
  <c r="B18" i="24" s="1"/>
  <c r="F134" i="1"/>
  <c r="G134" i="1" s="1"/>
  <c r="H134" i="1" s="1"/>
  <c r="F62" i="10"/>
  <c r="F165" i="1"/>
  <c r="G165" i="1" s="1"/>
  <c r="H165" i="1" s="1"/>
  <c r="C14" i="33"/>
  <c r="C15" i="33" s="1"/>
  <c r="F137" i="1"/>
  <c r="G137" i="1" s="1"/>
  <c r="H137" i="1" s="1"/>
  <c r="G25" i="20"/>
  <c r="H25" i="20" s="1"/>
  <c r="J86" i="10"/>
  <c r="E33" i="34"/>
  <c r="D9" i="20"/>
  <c r="H50" i="10"/>
  <c r="F50" i="10"/>
  <c r="C9" i="20"/>
  <c r="F32" i="10"/>
  <c r="C11" i="34"/>
  <c r="D44" i="10"/>
  <c r="B15" i="34"/>
  <c r="F16" i="20"/>
  <c r="F25" i="34"/>
  <c r="F98" i="10"/>
  <c r="C35" i="34"/>
  <c r="H131" i="10"/>
  <c r="D45" i="34"/>
  <c r="D11" i="32"/>
  <c r="D24" i="34"/>
  <c r="D41" i="10"/>
  <c r="B14" i="34"/>
  <c r="L35" i="10"/>
  <c r="F12" i="34"/>
  <c r="J92" i="10"/>
  <c r="E34" i="34"/>
  <c r="F113" i="10"/>
  <c r="C43" i="34"/>
  <c r="G21" i="20"/>
  <c r="H21" i="20" s="1"/>
  <c r="G33" i="34"/>
  <c r="J33" i="34" s="1"/>
  <c r="O41" i="10"/>
  <c r="G14" i="34"/>
  <c r="J14" i="34" s="1"/>
  <c r="O35" i="10"/>
  <c r="G12" i="34"/>
  <c r="J12" i="34" s="1"/>
  <c r="L38" i="10"/>
  <c r="F13" i="34"/>
  <c r="L44" i="10"/>
  <c r="F15" i="34"/>
  <c r="D113" i="10"/>
  <c r="B43" i="34"/>
  <c r="J125" i="10"/>
  <c r="E44" i="34"/>
  <c r="F45" i="34"/>
  <c r="F47" i="10"/>
  <c r="C16" i="34"/>
  <c r="G18" i="20"/>
  <c r="H18" i="20" s="1"/>
  <c r="G26" i="34"/>
  <c r="J26" i="34" s="1"/>
  <c r="H41" i="10"/>
  <c r="D14" i="34"/>
  <c r="H16" i="34"/>
  <c r="I16" i="34"/>
  <c r="D12" i="33"/>
  <c r="D13" i="33" s="1"/>
  <c r="D92" i="10"/>
  <c r="O32" i="10"/>
  <c r="G11" i="34"/>
  <c r="J11" i="34" s="1"/>
  <c r="D38" i="10"/>
  <c r="B13" i="34"/>
  <c r="B18" i="20"/>
  <c r="B26" i="34"/>
  <c r="H83" i="10"/>
  <c r="D27" i="34"/>
  <c r="H104" i="10"/>
  <c r="D36" i="34"/>
  <c r="J107" i="10"/>
  <c r="E42" i="34"/>
  <c r="I44" i="34"/>
  <c r="B45" i="34"/>
  <c r="J134" i="10"/>
  <c r="E46" i="34"/>
  <c r="E11" i="32"/>
  <c r="E24" i="34"/>
  <c r="I42" i="34"/>
  <c r="H42" i="34"/>
  <c r="O98" i="10"/>
  <c r="E11" i="24"/>
  <c r="J65" i="10"/>
  <c r="B27" i="20"/>
  <c r="D62" i="10"/>
  <c r="H32" i="10"/>
  <c r="D11" i="34"/>
  <c r="L32" i="10"/>
  <c r="F11" i="34"/>
  <c r="D35" i="10"/>
  <c r="B12" i="34"/>
  <c r="F38" i="10"/>
  <c r="C13" i="34"/>
  <c r="J38" i="10"/>
  <c r="E13" i="34"/>
  <c r="J44" i="10"/>
  <c r="E15" i="34"/>
  <c r="F71" i="10"/>
  <c r="C25" i="34"/>
  <c r="D83" i="10"/>
  <c r="B27" i="34"/>
  <c r="F86" i="10"/>
  <c r="C33" i="34"/>
  <c r="F104" i="10"/>
  <c r="C36" i="34"/>
  <c r="O134" i="10"/>
  <c r="G46" i="34"/>
  <c r="J46" i="34" s="1"/>
  <c r="B12" i="20"/>
  <c r="B23" i="34"/>
  <c r="I36" i="34"/>
  <c r="H36" i="34"/>
  <c r="G20" i="20"/>
  <c r="H20" i="20" s="1"/>
  <c r="G27" i="34"/>
  <c r="J27" i="34" s="1"/>
  <c r="H25" i="34"/>
  <c r="I25" i="34"/>
  <c r="J41" i="10"/>
  <c r="E14" i="34"/>
  <c r="F41" i="10"/>
  <c r="C14" i="34"/>
  <c r="I24" i="34"/>
  <c r="H24" i="34"/>
  <c r="J32" i="10"/>
  <c r="E11" i="34"/>
  <c r="H38" i="10"/>
  <c r="D13" i="34"/>
  <c r="H44" i="10"/>
  <c r="D15" i="34"/>
  <c r="C12" i="20"/>
  <c r="C23" i="34"/>
  <c r="F18" i="20"/>
  <c r="F26" i="34"/>
  <c r="D134" i="10"/>
  <c r="B46" i="34"/>
  <c r="L41" i="10"/>
  <c r="F14" i="34"/>
  <c r="F80" i="10"/>
  <c r="H35" i="10"/>
  <c r="D12" i="34"/>
  <c r="F44" i="10"/>
  <c r="C15" i="34"/>
  <c r="E12" i="20"/>
  <c r="E23" i="34"/>
  <c r="B16" i="20"/>
  <c r="B25" i="34"/>
  <c r="L83" i="10"/>
  <c r="F27" i="34"/>
  <c r="L86" i="10"/>
  <c r="F33" i="34"/>
  <c r="F92" i="10"/>
  <c r="C34" i="34"/>
  <c r="F134" i="10"/>
  <c r="C46" i="34"/>
  <c r="C10" i="33"/>
  <c r="C11" i="33" s="1"/>
  <c r="D8" i="20"/>
  <c r="D16" i="34"/>
  <c r="I35" i="34"/>
  <c r="H35" i="34"/>
  <c r="G12" i="20"/>
  <c r="H12" i="20" s="1"/>
  <c r="G23" i="34"/>
  <c r="J23" i="34" s="1"/>
  <c r="G9" i="32"/>
  <c r="I9" i="32" s="1"/>
  <c r="O74" i="10"/>
  <c r="L59" i="10"/>
  <c r="E11" i="20"/>
  <c r="F20" i="20"/>
  <c r="E14" i="20"/>
  <c r="D104" i="10"/>
  <c r="H125" i="10"/>
  <c r="G10" i="24"/>
  <c r="J10" i="24" s="1"/>
  <c r="H10" i="24" s="1"/>
  <c r="C30" i="20"/>
  <c r="F22" i="20"/>
  <c r="D32" i="10"/>
  <c r="B11" i="34"/>
  <c r="F35" i="10"/>
  <c r="C12" i="34"/>
  <c r="J35" i="10"/>
  <c r="E12" i="34"/>
  <c r="O38" i="10"/>
  <c r="G13" i="34"/>
  <c r="J13" i="34" s="1"/>
  <c r="O44" i="10"/>
  <c r="G15" i="34"/>
  <c r="J15" i="34" s="1"/>
  <c r="D12" i="20"/>
  <c r="D23" i="34"/>
  <c r="F83" i="10"/>
  <c r="C27" i="34"/>
  <c r="J83" i="10"/>
  <c r="E27" i="34"/>
  <c r="O89" i="10"/>
  <c r="L98" i="10"/>
  <c r="F35" i="34"/>
  <c r="L107" i="10"/>
  <c r="F42" i="34"/>
  <c r="L113" i="10"/>
  <c r="F43" i="34"/>
  <c r="H41" i="20"/>
  <c r="G45" i="34"/>
  <c r="J45" i="34" s="1"/>
  <c r="H134" i="10"/>
  <c r="D46" i="34"/>
  <c r="L134" i="10"/>
  <c r="F46" i="34"/>
  <c r="B8" i="20"/>
  <c r="B16" i="34"/>
  <c r="F65" i="10"/>
  <c r="C24" i="34"/>
  <c r="B10" i="20"/>
  <c r="B102" i="20" s="1"/>
  <c r="B22" i="34"/>
  <c r="G10" i="20"/>
  <c r="H10" i="20" s="1"/>
  <c r="G22" i="34"/>
  <c r="J22" i="34" s="1"/>
  <c r="H22" i="34" s="1"/>
  <c r="H43" i="34"/>
  <c r="I43" i="34"/>
  <c r="I34" i="34"/>
  <c r="H34" i="34"/>
  <c r="B19" i="20"/>
  <c r="D80" i="10"/>
  <c r="F11" i="32"/>
  <c r="L65" i="10"/>
  <c r="F12" i="24"/>
  <c r="F14" i="20"/>
  <c r="E29" i="20"/>
  <c r="J110" i="10"/>
  <c r="D86" i="10"/>
  <c r="B21" i="20"/>
  <c r="D89" i="13"/>
  <c r="D81" i="13"/>
  <c r="D71" i="13"/>
  <c r="F74" i="10"/>
  <c r="F140" i="1"/>
  <c r="G140" i="1" s="1"/>
  <c r="H140" i="1" s="1"/>
  <c r="E26" i="20"/>
  <c r="B10" i="33"/>
  <c r="B11" i="33" s="1"/>
  <c r="L62" i="10"/>
  <c r="D31" i="20"/>
  <c r="D95" i="10"/>
  <c r="D131" i="10"/>
  <c r="O137" i="10"/>
  <c r="F133" i="1"/>
  <c r="G133" i="1" s="1"/>
  <c r="H133" i="1" s="1"/>
  <c r="D26" i="20"/>
  <c r="E28" i="20"/>
  <c r="F26" i="20"/>
  <c r="D53" i="10"/>
  <c r="D59" i="10"/>
  <c r="O95" i="10"/>
  <c r="C9" i="32"/>
  <c r="C17" i="32" s="1"/>
  <c r="C11" i="32"/>
  <c r="L131" i="10"/>
  <c r="E21" i="20"/>
  <c r="D14" i="33"/>
  <c r="D15" i="33" s="1"/>
  <c r="D71" i="10"/>
  <c r="L71" i="10"/>
  <c r="D119" i="10"/>
  <c r="D149" i="10"/>
  <c r="F174" i="1"/>
  <c r="G174" i="1" s="1"/>
  <c r="H174" i="1" s="1"/>
  <c r="E20" i="20"/>
  <c r="F28" i="20"/>
  <c r="D10" i="24"/>
  <c r="D18" i="24" s="1"/>
  <c r="E34" i="11"/>
  <c r="F34" i="11" s="1"/>
  <c r="B11" i="20"/>
  <c r="B12" i="33"/>
  <c r="B13" i="33" s="1"/>
  <c r="B10" i="32"/>
  <c r="D56" i="10"/>
  <c r="B11" i="24"/>
  <c r="B28" i="20"/>
  <c r="D107" i="10"/>
  <c r="B25" i="20"/>
  <c r="D98" i="10"/>
  <c r="L104" i="10"/>
  <c r="F27" i="20"/>
  <c r="D110" i="10"/>
  <c r="B29" i="20"/>
  <c r="G9" i="20"/>
  <c r="H9" i="20" s="1"/>
  <c r="O50" i="10"/>
  <c r="B17" i="20"/>
  <c r="D74" i="10"/>
  <c r="F15" i="20"/>
  <c r="L68" i="10"/>
  <c r="F14" i="33"/>
  <c r="F15" i="33" s="1"/>
  <c r="F131" i="10"/>
  <c r="F10" i="32"/>
  <c r="F12" i="33"/>
  <c r="F13" i="33" s="1"/>
  <c r="F11" i="20"/>
  <c r="F11" i="24"/>
  <c r="L56" i="10"/>
  <c r="L50" i="10"/>
  <c r="F9" i="20"/>
  <c r="B14" i="33"/>
  <c r="B15" i="33" s="1"/>
  <c r="D68" i="10"/>
  <c r="D16" i="20"/>
  <c r="H71" i="10"/>
  <c r="H107" i="10"/>
  <c r="D28" i="20"/>
  <c r="D13" i="20"/>
  <c r="H62" i="10"/>
  <c r="E16" i="20"/>
  <c r="J71" i="10"/>
  <c r="H77" i="10"/>
  <c r="D18" i="20"/>
  <c r="F101" i="10"/>
  <c r="C26" i="20"/>
  <c r="F107" i="10"/>
  <c r="C28" i="20"/>
  <c r="F56" i="10"/>
  <c r="C11" i="20"/>
  <c r="C10" i="32"/>
  <c r="C11" i="24"/>
  <c r="J47" i="10"/>
  <c r="E8" i="20"/>
  <c r="E10" i="24"/>
  <c r="E18" i="24" s="1"/>
  <c r="D101" i="10"/>
  <c r="B26" i="20"/>
  <c r="C10" i="20"/>
  <c r="F53" i="10"/>
  <c r="L47" i="10"/>
  <c r="F8" i="20"/>
  <c r="F10" i="33"/>
  <c r="F11" i="33" s="1"/>
  <c r="F9" i="32"/>
  <c r="F17" i="32" s="1"/>
  <c r="F10" i="24"/>
  <c r="F18" i="24" s="1"/>
  <c r="G43" i="20"/>
  <c r="H43" i="20" s="1"/>
  <c r="O149" i="10"/>
  <c r="E9" i="20"/>
  <c r="J50" i="10"/>
  <c r="J116" i="10"/>
  <c r="E31" i="20"/>
  <c r="L125" i="10"/>
  <c r="D27" i="20"/>
  <c r="F32" i="20"/>
  <c r="D20" i="20"/>
  <c r="E12" i="33"/>
  <c r="E13" i="33" s="1"/>
  <c r="J56" i="10"/>
  <c r="E9" i="32"/>
  <c r="E17" i="32" s="1"/>
  <c r="E10" i="33"/>
  <c r="E11" i="33" s="1"/>
  <c r="G29" i="20"/>
  <c r="H29" i="20" s="1"/>
  <c r="O110" i="10"/>
  <c r="G23" i="20"/>
  <c r="H23" i="20" s="1"/>
  <c r="O92" i="10"/>
  <c r="B20" i="20"/>
  <c r="F68" i="10"/>
  <c r="C16" i="20"/>
  <c r="J59" i="10"/>
  <c r="H149" i="10"/>
  <c r="C12" i="33"/>
  <c r="C13" i="33" s="1"/>
  <c r="D77" i="10"/>
  <c r="D50" i="10"/>
  <c r="E13" i="20"/>
  <c r="C23" i="20"/>
  <c r="D24" i="20"/>
  <c r="E23" i="20"/>
  <c r="F24" i="20"/>
  <c r="F29" i="20"/>
  <c r="B12" i="24"/>
  <c r="D9" i="32"/>
  <c r="D17" i="32" s="1"/>
  <c r="B28" i="16"/>
  <c r="E28" i="16" s="1"/>
  <c r="F9" i="16"/>
  <c r="J74" i="10"/>
  <c r="E17" i="20"/>
  <c r="E25" i="20"/>
  <c r="J98" i="10"/>
  <c r="J104" i="10"/>
  <c r="E27" i="20"/>
  <c r="F119" i="10"/>
  <c r="C32" i="20"/>
  <c r="F10" i="20"/>
  <c r="L53" i="10"/>
  <c r="F77" i="10"/>
  <c r="C18" i="20"/>
  <c r="F95" i="10"/>
  <c r="C24" i="20"/>
  <c r="H98" i="10"/>
  <c r="D25" i="20"/>
  <c r="H110" i="10"/>
  <c r="D29" i="20"/>
  <c r="F10" i="16"/>
  <c r="B29" i="16"/>
  <c r="E29" i="16" s="1"/>
  <c r="J53" i="10"/>
  <c r="E10" i="20"/>
  <c r="E18" i="20"/>
  <c r="J77" i="10"/>
  <c r="H86" i="10"/>
  <c r="D21" i="20"/>
  <c r="E30" i="20"/>
  <c r="J113" i="10"/>
  <c r="F8" i="16"/>
  <c r="B27" i="16"/>
  <c r="E27" i="16" s="1"/>
  <c r="B30" i="16"/>
  <c r="E30" i="16" s="1"/>
  <c r="F11" i="16"/>
  <c r="H53" i="10"/>
  <c r="D10" i="20"/>
  <c r="H113" i="10"/>
  <c r="D30" i="20"/>
  <c r="D32" i="20"/>
  <c r="H119" i="10"/>
  <c r="H40" i="20"/>
  <c r="O125" i="10"/>
  <c r="D10" i="33"/>
  <c r="D11" i="33" s="1"/>
  <c r="D10" i="32"/>
  <c r="L80" i="10"/>
  <c r="H47" i="10"/>
  <c r="D11" i="20"/>
  <c r="F59" i="10"/>
  <c r="B31" i="20"/>
  <c r="L77" i="10"/>
  <c r="L74" i="10"/>
  <c r="G12" i="24"/>
  <c r="J12" i="24" s="1"/>
  <c r="C131" i="1"/>
  <c r="F173" i="1"/>
  <c r="G173" i="1" s="1"/>
  <c r="H173" i="1" s="1"/>
  <c r="C29" i="20"/>
  <c r="B11" i="32"/>
  <c r="B14" i="20"/>
  <c r="B15" i="20"/>
  <c r="H89" i="10"/>
  <c r="E43" i="20"/>
  <c r="D12" i="24"/>
  <c r="C12" i="24"/>
  <c r="C25" i="20"/>
  <c r="F25" i="20"/>
  <c r="G32" i="20"/>
  <c r="H32" i="20" s="1"/>
  <c r="O119" i="10"/>
  <c r="G28" i="20"/>
  <c r="H28" i="20" s="1"/>
  <c r="O107" i="10"/>
  <c r="E15" i="20"/>
  <c r="E12" i="24"/>
  <c r="J68" i="10"/>
  <c r="D14" i="20"/>
  <c r="I11" i="24"/>
  <c r="C21" i="20"/>
  <c r="F30" i="20"/>
  <c r="G16" i="20"/>
  <c r="H16" i="20" s="1"/>
  <c r="O71" i="10"/>
  <c r="G27" i="20"/>
  <c r="H27" i="20" s="1"/>
  <c r="O104" i="10"/>
  <c r="J14" i="33"/>
  <c r="G15" i="20"/>
  <c r="H15" i="20" s="1"/>
  <c r="G34" i="11"/>
  <c r="H34" i="11" s="1"/>
  <c r="I10" i="24" l="1"/>
  <c r="E141" i="1"/>
  <c r="F169" i="1"/>
  <c r="G169" i="1" s="1"/>
  <c r="H169" i="1" s="1"/>
  <c r="F143" i="1"/>
  <c r="G143" i="1" s="1"/>
  <c r="H143" i="1" s="1"/>
  <c r="I12" i="33"/>
  <c r="F144" i="1"/>
  <c r="G144" i="1" s="1"/>
  <c r="H144" i="1" s="1"/>
  <c r="C103" i="20"/>
  <c r="C102" i="20"/>
  <c r="F103" i="20"/>
  <c r="F102" i="20"/>
  <c r="E103" i="20"/>
  <c r="E102" i="20"/>
  <c r="B103" i="20"/>
  <c r="D103" i="20"/>
  <c r="D102" i="20"/>
  <c r="I14" i="33"/>
  <c r="H14" i="33"/>
  <c r="E71" i="13"/>
  <c r="F71" i="13" s="1"/>
  <c r="G71" i="13" s="1"/>
  <c r="E81" i="13"/>
  <c r="F81" i="13" s="1"/>
  <c r="G81" i="13" s="1"/>
  <c r="E89" i="13"/>
  <c r="F89" i="13" s="1"/>
  <c r="G89" i="13" s="1"/>
  <c r="I13" i="34"/>
  <c r="H13" i="34"/>
  <c r="H12" i="34"/>
  <c r="I12" i="34"/>
  <c r="H33" i="34"/>
  <c r="I33" i="34"/>
  <c r="H27" i="34"/>
  <c r="I27" i="34"/>
  <c r="I11" i="34"/>
  <c r="H11" i="34"/>
  <c r="H15" i="34"/>
  <c r="I15" i="34"/>
  <c r="I26" i="34"/>
  <c r="H26" i="34"/>
  <c r="I14" i="34"/>
  <c r="H14" i="34"/>
  <c r="I22" i="34"/>
  <c r="I45" i="34"/>
  <c r="H45" i="34"/>
  <c r="I23" i="34"/>
  <c r="H23" i="34"/>
  <c r="H46" i="34"/>
  <c r="I46" i="34"/>
  <c r="H12" i="24"/>
  <c r="I12" i="24"/>
  <c r="D30" i="16"/>
  <c r="C30" i="16"/>
  <c r="D27" i="16"/>
  <c r="C27" i="16"/>
  <c r="D29" i="16"/>
  <c r="C29" i="16"/>
  <c r="D28" i="16"/>
  <c r="C28" i="16"/>
  <c r="I10" i="33" l="1"/>
  <c r="A43" i="11"/>
  <c r="A48" i="11" s="1"/>
</calcChain>
</file>

<file path=xl/sharedStrings.xml><?xml version="1.0" encoding="utf-8"?>
<sst xmlns="http://schemas.openxmlformats.org/spreadsheetml/2006/main" count="1095" uniqueCount="455">
  <si>
    <t>Basisløntrin</t>
  </si>
  <si>
    <t>0 år</t>
  </si>
  <si>
    <t>8 år</t>
  </si>
  <si>
    <t>12 år</t>
  </si>
  <si>
    <t>Lærere</t>
  </si>
  <si>
    <t>Børnehaveklasseledere</t>
  </si>
  <si>
    <t>Lærere og børnehaveklasseledere</t>
  </si>
  <si>
    <t>sats III</t>
  </si>
  <si>
    <t>sats IV</t>
  </si>
  <si>
    <t>sats VI</t>
  </si>
  <si>
    <t>sats V</t>
  </si>
  <si>
    <t>Undervisningstillæg beregnes pr. undervisningstime</t>
  </si>
  <si>
    <t>Årligt timetal</t>
  </si>
  <si>
    <t>Undervisningstillæg</t>
  </si>
  <si>
    <t>Kr. pr. skemalagt undervisningstime á 60 minutter</t>
  </si>
  <si>
    <t>Månedsløn</t>
  </si>
  <si>
    <t xml:space="preserve"> </t>
  </si>
  <si>
    <t>- tredelt tjeneste (pr. dag)</t>
  </si>
  <si>
    <t>- for delt tjeneste ud over 11 timer (pr. time)</t>
  </si>
  <si>
    <t>Løntabel for</t>
  </si>
  <si>
    <t>Pensionsgivende løn</t>
  </si>
  <si>
    <t>1/3 egetbidrag</t>
  </si>
  <si>
    <t>I alt</t>
  </si>
  <si>
    <t>Pensionsgivende løn, grundbeløb</t>
  </si>
  <si>
    <t>Pensionsgivende løn pr.</t>
  </si>
  <si>
    <t>Generelle satser:</t>
  </si>
  <si>
    <t>Reguleringsfaktor</t>
  </si>
  <si>
    <t>Dato</t>
  </si>
  <si>
    <t>%</t>
  </si>
  <si>
    <t>Gældende sats pr.</t>
  </si>
  <si>
    <t>Historiske satser</t>
  </si>
  <si>
    <t xml:space="preserve">Løntabellen er gældende fra </t>
  </si>
  <si>
    <t>Reguleringsfaktoren blev nulstillet 31.03.2012, hvorefter der blev beregnet nye grundbeløb</t>
  </si>
  <si>
    <t xml:space="preserve">denne faktor gælder frem til </t>
  </si>
  <si>
    <t>27/37 og derover</t>
  </si>
  <si>
    <t>Lønmodtager</t>
  </si>
  <si>
    <t>Arbejdsgiver</t>
  </si>
  <si>
    <t>Beskæftigelsesgrad pr. uge</t>
  </si>
  <si>
    <t>Antal år</t>
  </si>
  <si>
    <t>25 år</t>
  </si>
  <si>
    <t>40 år</t>
  </si>
  <si>
    <t>50 år</t>
  </si>
  <si>
    <t>Pr.</t>
  </si>
  <si>
    <t>000-649,99</t>
  </si>
  <si>
    <t>650-699,99</t>
  </si>
  <si>
    <t>700-749,99</t>
  </si>
  <si>
    <t>750-</t>
  </si>
  <si>
    <t>000-749,99</t>
  </si>
  <si>
    <t>750-799.99</t>
  </si>
  <si>
    <t>800-834,99</t>
  </si>
  <si>
    <t>835-</t>
  </si>
  <si>
    <t>4 år</t>
  </si>
  <si>
    <t>II</t>
  </si>
  <si>
    <t>III</t>
  </si>
  <si>
    <t>IV</t>
  </si>
  <si>
    <t>V</t>
  </si>
  <si>
    <t>VI</t>
  </si>
  <si>
    <t>Skalatrin</t>
  </si>
  <si>
    <t>Udbetaling pr. dag med fuldt fradrag</t>
  </si>
  <si>
    <t>Transportgodtgørelse - satser</t>
  </si>
  <si>
    <t>Dagpengesatser</t>
  </si>
  <si>
    <t>Dagpengesats fuldtidsforsikrede</t>
  </si>
  <si>
    <t>Dagpengesats deltidsforsikrede</t>
  </si>
  <si>
    <t>kr.</t>
  </si>
  <si>
    <t>Gruppeliv</t>
  </si>
  <si>
    <t>Månedligt tillæg for alle lærere, bh.kl. ledere og skoleledere</t>
  </si>
  <si>
    <t>Timelønnede vikarer</t>
  </si>
  <si>
    <t>Uddannede lærere og bh.kl. ledere</t>
  </si>
  <si>
    <t>Undervisningsopgaver kr. pr. time</t>
  </si>
  <si>
    <t>Andre vikarer</t>
  </si>
  <si>
    <t>Ikke undervisningsopg. kr. pr. time</t>
  </si>
  <si>
    <t>Stedtillægsområder:</t>
  </si>
  <si>
    <t>Sats II</t>
  </si>
  <si>
    <t>Sats III</t>
  </si>
  <si>
    <t>Sats IV</t>
  </si>
  <si>
    <t>Sats V</t>
  </si>
  <si>
    <t>Sats VI</t>
  </si>
  <si>
    <t>Køge, Lejre, Roskilde, Solrød, Århus.</t>
  </si>
  <si>
    <t>Allerød, Fredensborg, Frederikssund, Frederiksværk-Hundested, Gribskov, Helsingør, Hillerød, Hørsholm.</t>
  </si>
  <si>
    <t xml:space="preserve">Løntabeller </t>
  </si>
  <si>
    <t xml:space="preserve">Deutsche Schul- und Sprachverein </t>
  </si>
  <si>
    <t>Dansk Friskoleforening</t>
  </si>
  <si>
    <t>Foreningen af Kristne Friskoler</t>
  </si>
  <si>
    <t>pr. år</t>
  </si>
  <si>
    <t>pr. måned</t>
  </si>
  <si>
    <t>Lærernes pension</t>
  </si>
  <si>
    <t>P25/Efterlønskassen</t>
  </si>
  <si>
    <t>Pensionsbidrag for børnehaveklasseledere pr.</t>
  </si>
  <si>
    <t>Pensionsbidrag for lærere pr.</t>
  </si>
  <si>
    <t>Kr.</t>
  </si>
  <si>
    <t>Pensionsbidrag</t>
  </si>
  <si>
    <t>Anciennitet</t>
  </si>
  <si>
    <t>Pensions-    bidrag</t>
  </si>
  <si>
    <t>År</t>
  </si>
  <si>
    <t xml:space="preserve">Måned </t>
  </si>
  <si>
    <t>Grundbeløb</t>
  </si>
  <si>
    <t xml:space="preserve">Grundbeløb </t>
  </si>
  <si>
    <t>Grundbeløb årligt</t>
  </si>
  <si>
    <t>Grundbeløb pr. mdr.</t>
  </si>
  <si>
    <t>Basis-         løntrin</t>
  </si>
  <si>
    <t>Beløb pr.</t>
  </si>
  <si>
    <t>Basis-            løntrin</t>
  </si>
  <si>
    <t xml:space="preserve">Mindre end 27/37 men mindst 18/37  </t>
  </si>
  <si>
    <t xml:space="preserve">Mindre end 18/37 men mindst 9/37    </t>
  </si>
  <si>
    <t xml:space="preserve">Under 9/37   </t>
  </si>
  <si>
    <t>Basis II 31/03/12</t>
  </si>
  <si>
    <t>Basis III 31/03/12</t>
  </si>
  <si>
    <t>Basis IV 31/03/12</t>
  </si>
  <si>
    <t>Basis V 31/03/12</t>
  </si>
  <si>
    <t>Basis VI 31/03/12</t>
  </si>
  <si>
    <t>Pensg.løn 31/03/12</t>
  </si>
  <si>
    <t>Pens.giv. løn</t>
  </si>
  <si>
    <t>Antal elever</t>
  </si>
  <si>
    <t>000-99</t>
  </si>
  <si>
    <t>100-349</t>
  </si>
  <si>
    <t>350 -</t>
  </si>
  <si>
    <t>Antal kostelever</t>
  </si>
  <si>
    <t>0-99</t>
  </si>
  <si>
    <t>0-24</t>
  </si>
  <si>
    <t>00-99</t>
  </si>
  <si>
    <t>25-59</t>
  </si>
  <si>
    <t>60 -</t>
  </si>
  <si>
    <t>For ansatte omfattet af en tjenestemandslignende pensionsordning udgør pensionstilsvaret 15% af den pensionsgivende løn på det skalatrin, hvor skalatrinslønnen er lig med eller nærmest under den aftalte løn.</t>
  </si>
  <si>
    <t>Eksempel 1:</t>
  </si>
  <si>
    <t>Eksempel 2:</t>
  </si>
  <si>
    <t>Generelle satser</t>
  </si>
  <si>
    <t>Forhøjelse af top/bund</t>
  </si>
  <si>
    <t>Der tages forbehold for eventuelle fejl</t>
  </si>
  <si>
    <t>Grundbeløb pr. år</t>
  </si>
  <si>
    <t>Almindelig godkendt kørsel med bil</t>
  </si>
  <si>
    <t>Danmark</t>
  </si>
  <si>
    <t>Udlandet</t>
  </si>
  <si>
    <t>Ureduceret sats</t>
  </si>
  <si>
    <t>Skalatrin for skygge-forløb</t>
  </si>
  <si>
    <t>Esbjerg, Frederikshavn, Faaborg-Midtfyn, Kalundborg, Kerteminde, Nyborg, Næstved, Odense, Skanderborg, Slagelse, Sønderborg, Aalborg.</t>
  </si>
  <si>
    <t>Grundløntrin</t>
  </si>
  <si>
    <t>Timeløn</t>
  </si>
  <si>
    <t>reguleret</t>
  </si>
  <si>
    <t>0-4 år</t>
  </si>
  <si>
    <t>&gt; 9 år</t>
  </si>
  <si>
    <t>1. års elev</t>
  </si>
  <si>
    <t>2. års elev</t>
  </si>
  <si>
    <t>Grundbeløbet er pr. 1 april 2013 forhøjet med 0,26%. Denne forhøjelse er sket som en forhøjelse af grundbeløbet i niveau 31. marts 2012.</t>
  </si>
  <si>
    <t>Ved forhøjelsen er det tidligere grundbeløb forhøjet med 0,26% og efterfølgende afrundet til nærmeste hele 10 kr., hvorved det nye grundbeløb er fremkommet.</t>
  </si>
  <si>
    <t>Timelønnen udregnes som 1/1672 af en årsløn på det pågældende grundtrin - dette jf. OK § 10.  Dette afviger fra praksis på øvrige områder, hvor der regnes med 1/1924.</t>
  </si>
  <si>
    <t>Sekretærer, IT-medarbejdere og andre administrative medarbejdere, der har tilsluttet sig Landsoverenskomst 2013-2015 mellem Lilleskolerne og HK/Privat</t>
  </si>
  <si>
    <t>5-8 år</t>
  </si>
  <si>
    <t>&gt; 12 år</t>
  </si>
  <si>
    <t xml:space="preserve">Basisløn for sekretærer, IT-medarbejdere og andre adm. Medarbejdere </t>
  </si>
  <si>
    <t>Aflønning af elever (under 25 år)</t>
  </si>
  <si>
    <t>Aflønning af elever (over 25 år)</t>
  </si>
  <si>
    <t>Månedligt tillæg for sekretærer, IT-medarbejdere og andre administrative medarbejdere under Landsoverenskomst mellem Lilleskolerne og HK/Privat</t>
  </si>
  <si>
    <t>PensionDanmark (eller andet godkendt selskab)</t>
  </si>
  <si>
    <t>Gruppelivspræmie øvrige ansatte (Aftale nr. 26001) - sats gældende fra 01/01/2015</t>
  </si>
  <si>
    <t>Alder</t>
  </si>
  <si>
    <t>16-årige</t>
  </si>
  <si>
    <t>17-årige</t>
  </si>
  <si>
    <t>Praktikstuderende</t>
  </si>
  <si>
    <t>Pr. måned</t>
  </si>
  <si>
    <t>Pr. arbejdstime - 60 minutter</t>
  </si>
  <si>
    <t>Tillæg</t>
  </si>
  <si>
    <t>Godtgørelse for tjeneste på søn- og helligdage</t>
  </si>
  <si>
    <t>pr. time</t>
  </si>
  <si>
    <t>pr. dag</t>
  </si>
  <si>
    <t>Pædagogisk personale</t>
  </si>
  <si>
    <t>Pensionsbidrag pr. måned</t>
  </si>
  <si>
    <t>20+t</t>
  </si>
  <si>
    <t xml:space="preserve">Timelønnede: </t>
  </si>
  <si>
    <t xml:space="preserve">Pr. arbejdstime </t>
  </si>
  <si>
    <t>Arbedstidsbestemte tillæg</t>
  </si>
  <si>
    <t>Natpenge for tjeneste i tiden 17 - 06</t>
  </si>
  <si>
    <t>Godtgørelse for tjeneste lørdage efter kl. 14</t>
  </si>
  <si>
    <t>Godtgørelse for tjeneste mandage kl. 00-04 samt hverdage efter skæve helligdage</t>
  </si>
  <si>
    <t>Hovedrengøringstillæg</t>
  </si>
  <si>
    <t>Alm. Hovedrengøring + afsluttende rengøring efter håndværkere</t>
  </si>
  <si>
    <t>Arbejdstøjstillæg</t>
  </si>
  <si>
    <t>Funktionstillæg (pensionsgivende)</t>
  </si>
  <si>
    <t>Evt. funktionstillæg</t>
  </si>
  <si>
    <r>
      <t xml:space="preserve">Der kan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</si>
  <si>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Årligt</t>
  </si>
  <si>
    <t>Til alle på trin 20 ydes tillæg</t>
  </si>
  <si>
    <t>Dispositionstillæg</t>
  </si>
  <si>
    <t xml:space="preserve">Pensions-givende løn </t>
  </si>
  <si>
    <t>Eget-          bidrag</t>
  </si>
  <si>
    <t xml:space="preserve">Arbejds-         giverbidrag </t>
  </si>
  <si>
    <t>Historiske satser - reguleringsprocent</t>
  </si>
  <si>
    <t>Rengøringsassistenter, køkkenmedarbejdere, chauffører, tekniske servicemedarbejdere og tekniske serviceledere</t>
  </si>
  <si>
    <t>Tillægget ydes i form af frit arbejdstøj el årligt tillæg på min:</t>
  </si>
  <si>
    <t>Timelønnede</t>
  </si>
  <si>
    <t>Godtgørelse for tjeneste i tidsrummet kl. 17-06</t>
  </si>
  <si>
    <t>gældende for perioden 1. april 2015- 31. marts 2016</t>
  </si>
  <si>
    <t>Time</t>
  </si>
  <si>
    <t>Funktionstillæg</t>
  </si>
  <si>
    <t xml:space="preserve">Gruppelivspræmie (Aftale FG nr. 85034)    </t>
  </si>
  <si>
    <t>Til alle på trin 14 ydes tillæg</t>
  </si>
  <si>
    <t>14+t</t>
  </si>
  <si>
    <t>Måned</t>
  </si>
  <si>
    <t>Pensions-bidrag</t>
  </si>
  <si>
    <t>2/3 arb.giver-bidrag</t>
  </si>
  <si>
    <t>Time-interval</t>
  </si>
  <si>
    <t xml:space="preserve">Pens.giv. løn </t>
  </si>
  <si>
    <t>Godtgørelse for tjenestehverdage efter søgnehellligdage kl. 00-06</t>
  </si>
  <si>
    <t>Assens, Billund, Bornholm, Brønderslev-Dronninglund, Fanø, Favrskov, Faxe, Fredericia, Guldborgsund, Haderslev, Hedensted, Herning, Hjørring, Holbæk, Holstebro, Horsens, Ikast-Brande, Jammerbugt, Kolding, Langeland, Lemvig, Lolland, Læsø, Mariagerfjord, Middelfart, Morsø, Norddjurs, Nordfyn, Odder, Odsherred, Randers, Rebild, Ringkøbing-Skjern, Ringsted, Samsø, Silkeborg, Skive, Sorø, Stevns, Struer, Svendborg, Syddjurs, Thisted, Tønder, Varde, Vejen, Vejle, Vesthimmerland, Viborg, Vordingborg, Ærø, Aabenraa.</t>
  </si>
  <si>
    <t>DENNE LØNTABEL GÆLDER ALENE ANSATTE OK MELLEM                                                                                                      3F og følgende skoleforeninger: Lilleskolerne samt Deutsche Schul- und sprachverein</t>
  </si>
  <si>
    <t>Tillæggene på trin 14 og 20 er pensionsgivende</t>
  </si>
  <si>
    <t>Vejledende beregning af undervisningstillæg til lærere og bh.kl. Ledere</t>
  </si>
  <si>
    <t>Se oversigt over de forskellige områder under fanen: generelle satser</t>
  </si>
  <si>
    <t>Supplerende pension:</t>
  </si>
  <si>
    <t>Opmærksomheden henledes på ansatte med ret til tjenestemandspension.</t>
  </si>
  <si>
    <t>Som supplement til den tjenestemandslignende pensionsordning kan det aftales, at forskellen mellem den pensionsgivende løn og den aftalte intervalløn hel eller delvist gøres pensionsgivende. Af denne del indbetales 17,3% som pensionsbidrag til Lærernes Pension. Såfremt den aftalte intervalløn overstiger den maksimale pensionsgivende løn på slutskalatrin incl. 2 ekstra trin, indbetales der for denne del 18,00% som pensionsbidrag til Lærernes Pension.</t>
  </si>
  <si>
    <t>Ordninger under 30 børn:</t>
  </si>
  <si>
    <t>20, 23, 25, 27, 29, 31, 33, 36</t>
  </si>
  <si>
    <t>Pædagoguddannede</t>
  </si>
  <si>
    <t>Plus 2 trin</t>
  </si>
  <si>
    <t>Plus 6 trin</t>
  </si>
  <si>
    <t>Antal ekstra skalatrin i forhold til ordninger med daglig leder</t>
  </si>
  <si>
    <t>Læ1/Bh1</t>
  </si>
  <si>
    <t>Læ2/bh2</t>
  </si>
  <si>
    <t>Læ3/bh3</t>
  </si>
  <si>
    <t>Læ4/bh4</t>
  </si>
  <si>
    <t>Basisløn</t>
  </si>
  <si>
    <t>x</t>
  </si>
  <si>
    <t xml:space="preserve">OK08-tillæg </t>
  </si>
  <si>
    <t>OK13-tillæg</t>
  </si>
  <si>
    <t>Reguleret</t>
  </si>
  <si>
    <t>Funktionstillæg - skolens decentrale løn</t>
  </si>
  <si>
    <t>Ja</t>
  </si>
  <si>
    <t>Nej</t>
  </si>
  <si>
    <t>Kvalifikationstillæg - skolens decentrale løn</t>
  </si>
  <si>
    <t>Evt.</t>
  </si>
  <si>
    <t>Se satser mm i arket "lærere og bh.kl.ledere"</t>
  </si>
  <si>
    <t>Lærernes forskellige faste løndele."</t>
  </si>
  <si>
    <t>Soucheftillæg - funtktionstillæg til skolens souchef</t>
  </si>
  <si>
    <t>Oversigt over løn til lærere og børnehaveklasseledere</t>
  </si>
  <si>
    <t>Lønforløb for pædagogisk personale</t>
  </si>
  <si>
    <t>(0-4 års lønanciennitet)</t>
  </si>
  <si>
    <t>(4-8 års lønanciennitet)</t>
  </si>
  <si>
    <t>(8-12 års lønanciennitet)</t>
  </si>
  <si>
    <t>(Mere end 12 års lønanciennitet)</t>
  </si>
  <si>
    <t>Beløb pr. mdr.</t>
  </si>
  <si>
    <t>Supplerende oplysninger til fanen "BUPL"</t>
  </si>
  <si>
    <t>Supplerende oplysninger til fanen "lærere og bh.kl.ledere.</t>
  </si>
  <si>
    <r>
      <t xml:space="preserve">Områdetillæg - </t>
    </r>
    <r>
      <rPr>
        <b/>
        <sz val="11"/>
        <color theme="1"/>
        <rFont val="Calibri"/>
        <family val="2"/>
        <scheme val="minor"/>
      </rPr>
      <t>kun i stedtilægsområde 3-6</t>
    </r>
  </si>
  <si>
    <t>Som supplement til fanen løn til "lærere og bh.kl.ledere" skematiseres her, hvilke faste løndele lærere og bh.kl.ledere skal have afhængig af basisløntrin. De enkelte løndele beskrives i fanen "lærere og bh.kl.ledere" Nederst i dette skema er en kort beskrivelse af supplerende pension.</t>
  </si>
  <si>
    <t>Lokalaftalt ulempegodtgørelse - Såfremt skolen har en sådan aftale</t>
  </si>
  <si>
    <t xml:space="preserve">Pensionsgivende </t>
  </si>
  <si>
    <t>Se skolens aftale</t>
  </si>
  <si>
    <t>Afhængig af BG</t>
  </si>
  <si>
    <t xml:space="preserve">Lønforløb for afdelingsledere (oprykning efter 4 års lederanciennitet). </t>
  </si>
  <si>
    <t>Lønforløb for ordninger uden daglig ledelse (oprykning efter 2 års anciennitet)</t>
  </si>
  <si>
    <t>Kan kun benyttes ved ordninger med højst 30 i børnetal!</t>
  </si>
  <si>
    <t>Trin 4-tillæg (Ydes kun til lærere, der var ansat på skolen d. 31. marts 2013, og pr. 31. marts havde 12 års lønancienitet</t>
  </si>
  <si>
    <t>Jubilæumsgratialer</t>
  </si>
  <si>
    <t>Souscheftillægget er et månedligt tillæg, som ydes uafhængigt af beskæftigelsesgraden</t>
  </si>
  <si>
    <t>Alm. hovedrengøring + afsluttende rengøring efter håndværkere</t>
  </si>
  <si>
    <t>Tillæg i stedet for frit arbejdstøj, minum:</t>
  </si>
  <si>
    <t>Udligningstillæg - Beregnet ved overgang fra skalatrinsløn til basisløn aug. 2004</t>
  </si>
  <si>
    <t>Ordninger med 31-150 børn:</t>
  </si>
  <si>
    <t>Ordninger med 151 børn og derover:</t>
  </si>
  <si>
    <t>Evt. funktionstillæg - beløbet aftales</t>
  </si>
  <si>
    <r>
      <t xml:space="preserve">Månedsløn </t>
    </r>
    <r>
      <rPr>
        <b/>
        <sz val="10"/>
        <rFont val="Arial"/>
        <family val="2"/>
      </rPr>
      <t>- reguleret med gældende reguleringsprocent</t>
    </r>
  </si>
  <si>
    <r>
      <t>Timelønnede</t>
    </r>
    <r>
      <rPr>
        <b/>
        <sz val="10"/>
        <rFont val="Arial"/>
        <family val="2"/>
      </rPr>
      <t xml:space="preserve"> - reguleret med gældende reguleringsprocent</t>
    </r>
  </si>
  <si>
    <t>Pensionsgivende</t>
  </si>
  <si>
    <t>Områdetillæg pr. måned</t>
  </si>
  <si>
    <t xml:space="preserve">OK-2008 tillæg </t>
  </si>
  <si>
    <t xml:space="preserve">Souscheftillæg </t>
  </si>
  <si>
    <t>Ikke pensionsgivende</t>
  </si>
  <si>
    <t xml:space="preserve">Tillæg til specialundervisning </t>
  </si>
  <si>
    <t>Arbejdstidsbestemte tillæg</t>
  </si>
  <si>
    <t>Løninterval</t>
  </si>
  <si>
    <t>Afhængigt  af beskæftigelsesgraden. Pensionsgivende</t>
  </si>
  <si>
    <t>Afhængigt af beskæftigelsesgrad. Ikke pensionsgivende.(Tillægget er ureguleret)</t>
  </si>
  <si>
    <t>Afhængigt af beskæftelsesgraden. Ikke pensionsgivende.</t>
  </si>
  <si>
    <t>Afhængigt af beskæftigelsesgraden. Pensionsgivende for alle.</t>
  </si>
  <si>
    <t>Ikke afhængigt af beskæftigelsesgraden. Pensionsgivende</t>
  </si>
  <si>
    <t>Tillidsrepræsentanter</t>
  </si>
  <si>
    <t xml:space="preserve">Hovedrengøringstillæg </t>
  </si>
  <si>
    <t xml:space="preserve">Funktionstillæg </t>
  </si>
  <si>
    <t xml:space="preserve">Dispositionstillæg </t>
  </si>
  <si>
    <t xml:space="preserve">Arbejdstøjstillæg </t>
  </si>
  <si>
    <t>Reguleringsfaktoren blev nulstillet d. 31/03/2012, hvorefter der blev beregnet nye grundbeløb</t>
  </si>
  <si>
    <t>Pr. time udover hele døgn</t>
  </si>
  <si>
    <t>Danmarks Private Skoler</t>
  </si>
  <si>
    <t>DENNE LØNTABEL GÆLDER ALENE FOR ANSATTE EFTER OVERENSKOMST MELLEM 3F OG DANMARKS PRIVATE SKOLER</t>
  </si>
  <si>
    <t>Fradrag for morgenmad(15%)</t>
  </si>
  <si>
    <t>Fradrag for frokost(30%)</t>
  </si>
  <si>
    <t>Fradrag for aftenmåltid(30%)</t>
  </si>
  <si>
    <t>Fradrag for fuld kost(75%)</t>
  </si>
  <si>
    <t>Denne version er udgivet af:</t>
  </si>
  <si>
    <t xml:space="preserve">Løntabellen omfatter følgende medarbejdere/overenskomster: </t>
  </si>
  <si>
    <t xml:space="preserve">Ansatte under BUPL </t>
  </si>
  <si>
    <t>Beløb</t>
  </si>
  <si>
    <t>Beløb pr. år</t>
  </si>
  <si>
    <t>Grundbeløb pr. time</t>
  </si>
  <si>
    <t>Beløb pr. time</t>
  </si>
  <si>
    <t>Pensionsbidrag 15%</t>
  </si>
  <si>
    <t>Statens takster afhængig af områdetillæg</t>
  </si>
  <si>
    <t>(oversigt over stedtillægsområder findes under fanen "generelle satser")</t>
  </si>
  <si>
    <t>Ja - såfremt det udb. som et fast mdr. beløb</t>
  </si>
  <si>
    <t>Albertslund, Ballerup, Brøndby, Dragør, Egedal, Frederiksberg, Furesø, Gentofte, Gladsaxe, Glostrup, Greve, Herlev, Hvidovre, Høje-Taastrup, Ishøj, København, Lyngby-Taarbæk, Rudersdal, Rødovre, Tårnby, Vallensbæk.</t>
  </si>
  <si>
    <t>Ikke afhængigt af beskæftigelsesgraden. Pensionsgivende.</t>
  </si>
  <si>
    <t>4. år</t>
  </si>
  <si>
    <t>3. år</t>
  </si>
  <si>
    <t>2. år</t>
  </si>
  <si>
    <t>1. år</t>
  </si>
  <si>
    <t>Ikke afhængig af beskæftigelsesgraden. Pensionsgivende</t>
  </si>
  <si>
    <t xml:space="preserve">Undervisningstillæg </t>
  </si>
  <si>
    <t>Time- og dagpenge</t>
  </si>
  <si>
    <r>
      <t>Der</t>
    </r>
    <r>
      <rPr>
        <b/>
        <sz val="11"/>
        <color theme="1"/>
        <rFont val="Arial"/>
        <family val="2"/>
      </rPr>
      <t xml:space="preserve"> kan</t>
    </r>
    <r>
      <rPr>
        <sz val="11"/>
        <color theme="1"/>
        <rFont val="Arial"/>
        <family val="2"/>
      </rPr>
      <t xml:space="preserve">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</si>
  <si>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Pr. døgn á 24 timer</t>
  </si>
  <si>
    <t>Lærere, ledere og børnehaveklasseledere ved grundskoler</t>
  </si>
  <si>
    <t xml:space="preserve">Pensionsbidrag </t>
  </si>
  <si>
    <t>Godtgørelse for 2-delt tjeneste</t>
  </si>
  <si>
    <t>Godtgørelse for 3-delt tjeneste</t>
  </si>
  <si>
    <t>Godtgørelse for omlagt tjeneste</t>
  </si>
  <si>
    <t>Pensiongivende løn</t>
  </si>
  <si>
    <t>for ansatte på de frie skoler</t>
  </si>
  <si>
    <t>Heraf anses 1/3 for medarbejderens egetbidrag</t>
  </si>
  <si>
    <t xml:space="preserve">OK-2013 tillæg </t>
  </si>
  <si>
    <t>Afhængigt af beskæftigelsesgraden samt pensionsgivende for ansatte med Lærernes Pension</t>
  </si>
  <si>
    <t>Pensionsgivende for ansatte med Lærernes Pension</t>
  </si>
  <si>
    <t>350-699</t>
  </si>
  <si>
    <t>700 -</t>
  </si>
  <si>
    <t>Lønintervaller for øverste leder</t>
  </si>
  <si>
    <t>0 - 349 elever</t>
  </si>
  <si>
    <t>Der kan aftales varige og/eller midlertidige funktions- eller kvalifikationstillæg.</t>
  </si>
  <si>
    <t>Lønintervaller for øverste leder ved skoler med kostafdeling</t>
  </si>
  <si>
    <t>Supplerende pension: Opmærksomheden henledes på ansatte med ret til tjenestemandspension. Ansatte med ret til tjenestemandspension, skal have supplerende pension i Lærernes Pension på 18% for pensionsgivende lønddele, der overstiger slutskalatrin incl. 2 ekstra trin. For lærere: Skalatrin 42, for bhkl.ledere: trin 33.  For pensionsgivende løndele under slutskalatrin incl. 2 skalatrin skal supplerende pension indbetales med 17,3%, såfremt supplerende pension er aftalt.</t>
  </si>
  <si>
    <t>Tillægget ydes til lærere- og børnehaveklasseledere, der i den almindelige undervisning har ansvaret for undervisning af en eller flere elever med et minimums specialundervisningsbehov på 9 klokketimer/12 undervisningslektioner og til hvem skolen modtager ekstra tilskud(SPS-tilskud), samt støtteundervisning i dansk for tosprogede elever.</t>
  </si>
  <si>
    <t>Kontorpersonale</t>
  </si>
  <si>
    <t>Kontormedarbejdere</t>
  </si>
  <si>
    <t>Oprykning til næste skalatrin sker efter hver 2. års lønanciennitet.</t>
  </si>
  <si>
    <t>Kontorassistenter</t>
  </si>
  <si>
    <t>Kontorfuldmægtige</t>
  </si>
  <si>
    <t>Forretningsfører</t>
  </si>
  <si>
    <t>Timelønnede med relevant kontorfaglig uddannelse</t>
  </si>
  <si>
    <t>Tillæg til tillidsrepræsentant</t>
  </si>
  <si>
    <t>Beløb pr. måned</t>
  </si>
  <si>
    <t>Aflønning af elever</t>
  </si>
  <si>
    <t>Grundbeløb pr. måned</t>
  </si>
  <si>
    <t>Elever over 18 år</t>
  </si>
  <si>
    <t>Elever under 18 år</t>
  </si>
  <si>
    <t>Månedsløn  - reguleret med gældende reguleringsprocent</t>
  </si>
  <si>
    <t>Voksenelever over 25 år</t>
  </si>
  <si>
    <t>Under hele elevtiden</t>
  </si>
  <si>
    <t>Timelønede uden relevant kontorfaglig uddannelse</t>
  </si>
  <si>
    <t>Basisløn for øvrige ledere</t>
  </si>
  <si>
    <t>Øverste leder og øvrige ledere</t>
  </si>
  <si>
    <t>Øvrige ledere</t>
  </si>
  <si>
    <t>16, 17, 18, 19, 21</t>
  </si>
  <si>
    <t>22, 23, 26, 27, 29</t>
  </si>
  <si>
    <t xml:space="preserve">Ansatte med ret til tjenestemandspension, skal have supplerende pension i Lærernes Pension på 18% for lønddele, der overstiger slutskalatrin incl. 2 ekstra trin. For lærere: Skalatrin 42, for bhkl.ledere: trin 33. </t>
  </si>
  <si>
    <t>Timelønnet personale</t>
  </si>
  <si>
    <t>Anderledes pæd. uddannede(Lukket gruppe)</t>
  </si>
  <si>
    <t>Beløbsgrænse for engangsvederlag</t>
  </si>
  <si>
    <t>Udover intervallønnen til skolens øverste leder og basislønnen til skolens øvrige ledere, kan der aftales engangsvederlag i form af resultatløn eller honorering for en særlig indsats. Dette i henhold til bemyndigelsesskrivelse af 17. september 2019 fra Styrelsen for Undervisning og Kvalitet. Engangsvederlag er pensionsgivende.</t>
  </si>
  <si>
    <t>Grundskolers øverste leder og mellemleder</t>
  </si>
  <si>
    <t>Hel godtgørelse</t>
  </si>
  <si>
    <t>Satser for G-dage(dagpenge godtgørelse for 1. og 2. ledighedsdag)</t>
  </si>
  <si>
    <t>Halv godtgørelse(for ledighed på 4 timer eller derunder)</t>
  </si>
  <si>
    <t>Arbejdstidsbestemte tillæg efter natpengeaftalen</t>
  </si>
  <si>
    <t>Rektorer, ledere og lærere ved gymnasieskoler.</t>
  </si>
  <si>
    <t>Lilleskolernes Sammenslutning</t>
  </si>
  <si>
    <t>Månedsløn(afhængig af beskæftigelsesgrad)</t>
  </si>
  <si>
    <t>Pensionsbidrag for øverste leder og øvrige leder</t>
  </si>
  <si>
    <t>Tjenestemandslignende pensionsordning</t>
  </si>
  <si>
    <t>Skolen betaler pensionsbidrag til Lærernes Pension, bortset fra ansatte omfattet af nedennævnte tjenestemandslignende pensionsordning. Pensionsbidraget til Lærernes Pension udgør 17,3% af de pensionsgivende løndele, hvoraf 1/3 udgør egetbidraget.</t>
  </si>
  <si>
    <t>Dansk Friskoleforening, Danmarks Private Skoler, Lilleskolernes Sammenslutning samt Deutche Schul- und spracherein,</t>
  </si>
  <si>
    <t xml:space="preserve">DENNE LØNTABEL GÆLDER ALENE ANSATTE OMFATTET AF OK MELLEM 3F OG AFTALEENHEDEN SOM BESTÅR AF:                                                                                 </t>
  </si>
  <si>
    <t>DENNE LØNTABEL GÆLDER ALENE ANSATTE OMFATTET AF OK MELLEM HK OG AFTALEENHEDEN SOM BESTÅR AF:</t>
  </si>
  <si>
    <t>Dansk Friskoleforening, Danmarks Private Skoler samt Lilleskolernes Sammenslutning</t>
  </si>
  <si>
    <t>Pædagogmedhjælpere</t>
  </si>
  <si>
    <t>Pædagogiske assistenter</t>
  </si>
  <si>
    <t>Pædagogmedhjælpere og pædagogiske assistenter</t>
  </si>
  <si>
    <t>Stedtillægsområde 2, 3 og 4</t>
  </si>
  <si>
    <t>Stedtillægsområde 5 og 6</t>
  </si>
  <si>
    <t>Timelønnede under 18 år</t>
  </si>
  <si>
    <t>Godtgørelse for delt tjeneste ud over 11 timer</t>
  </si>
  <si>
    <t>Godtgørelse for tjeneste på lørdage efter kl. 14:00, samt lørdage før kl. 14:00 såfremt  halvdelen af arb.tiden ligger efter kl. 14:00. Herudover juleaftensdag efter kl. 14.00 samt grundlovsdag efter kl. 12.00</t>
  </si>
  <si>
    <t>Godtgørelse for tjeneste på lørdage efter kl. 14:00, samt lørdage før kl. 14:00 såfremt  halvdelen af arb.tiden ligger efter kl. 14:00 samt grundlovsdag efter kl. 12.00</t>
  </si>
  <si>
    <t>Gruppelivspræmie øvrige ansatte (Aftale FG nr. 98704-1)</t>
  </si>
  <si>
    <t>Tillæg for ansvar af uv. af SPS-elever samt til uv. af dansk til 2-sprogede.</t>
  </si>
  <si>
    <t>Overenskomsttillæg til afdelingsledere</t>
  </si>
  <si>
    <t>Afhængig af beskæftigelsesgraden. Den pensionsgivende løn er pensionsberettiget</t>
  </si>
  <si>
    <r>
      <t>Månedsløn(</t>
    </r>
    <r>
      <rPr>
        <sz val="16"/>
        <rFont val="Arial"/>
        <family val="2"/>
      </rPr>
      <t>er reguleret med gældende reguleringsprocent)</t>
    </r>
  </si>
  <si>
    <r>
      <t>Månedsløn til afd. Ledere</t>
    </r>
    <r>
      <rPr>
        <sz val="14"/>
        <rFont val="Arial"/>
        <family val="2"/>
      </rPr>
      <t>(er reguleret med gældende reguleringsprocent)</t>
    </r>
  </si>
  <si>
    <t>Tillæg til trin 14(14+t)</t>
  </si>
  <si>
    <t>Tillæg til trin 21(21+t)</t>
  </si>
  <si>
    <t>21+t</t>
  </si>
  <si>
    <t>Arbejdsmiljøreprænsentanter</t>
  </si>
  <si>
    <t>Kørsel i henhold til bemyndigelse*</t>
  </si>
  <si>
    <t xml:space="preserve">Pensionsgivende for ansatte med Lærernes Pension							</t>
  </si>
  <si>
    <t>Tillæg til eksaminator eller censor (pr. time).</t>
  </si>
  <si>
    <t xml:space="preserve">Tillæg til eksaminator eller censor </t>
  </si>
  <si>
    <t>Tillægget ydes i stedet for arbejdstiden ved mundtlige udtræksprøver ved folkeskolens 9. klasses afgangsprøve. (Kræver en aftale med den enkelte lærer)</t>
  </si>
  <si>
    <r>
      <rPr>
        <b/>
        <sz val="11"/>
        <color theme="1"/>
        <rFont val="Arial"/>
        <family val="2"/>
      </rPr>
      <t>Ulempetillæg: 25% af nettotimelønnen.</t>
    </r>
    <r>
      <rPr>
        <sz val="11"/>
        <color theme="1"/>
        <rFont val="Arial"/>
        <family val="2"/>
      </rPr>
      <t xml:space="preserve"> Ydes på hverdage fra kl. 17.00-06.00. I weekender fra kl. 00.00-søndag kl. 24.00. Søgnehelligdage fra kl.00.00 til kl. 24.00. Grundlovsdag efter kl. 12:00 samt juleaftensdag efter kl. 14.00. Ydes ikke ved lejrskole og lignende elevarrangementer med overnatning.</t>
    </r>
  </si>
  <si>
    <r>
      <rPr>
        <b/>
        <sz val="11"/>
        <color theme="1"/>
        <rFont val="Arial"/>
        <family val="2"/>
      </rPr>
      <t xml:space="preserve">Weekendtillæg: Nettotimelønnen + 50%:  </t>
    </r>
    <r>
      <rPr>
        <sz val="11"/>
        <color theme="1"/>
        <rFont val="Arial"/>
        <family val="2"/>
      </rPr>
      <t>Ydes fra fredag kl. 00.00 - søndag kl. 24.00 samt søgnehelligdage fra kl. 00.00-24.00. Ydes ikke ved lejrskole og lignende elevarrangementer med overnatning.</t>
    </r>
  </si>
  <si>
    <t>*) indtil 20.000 km pr. år derefter kr. 2,23</t>
  </si>
  <si>
    <t>Som supplement til fanen over løn "BUPL-FOA" vises her oversigten over det pædagogiske personales lønforløb. Skalatrinsbeløbene, tillæg, pension mm., fremgår af fanen "BUPL-FOA".</t>
  </si>
  <si>
    <t>ATP til timelønnede: Arbejdsgiverandel pr. time kr. 1,42, arbejderstagerandel pr. time kr. 0,71.</t>
  </si>
  <si>
    <t>Ansatte under BUPL/FOA, HK, 3F overenskomst samt andre generelle satser.</t>
  </si>
  <si>
    <t>Tillæg ved deltagelse i lejrskole og lignende elevarrangementer på hverdage med overnatning (pr. dag)</t>
  </si>
  <si>
    <t>Tillæg ved deltagelse i lejrskole og lignende elevarrangementer på lørdage, søndage og helligdage med overnatning (pr. dag)</t>
  </si>
  <si>
    <t>ÆNDRINGER I DENNE LØNTABEL ER:</t>
  </si>
  <si>
    <t>Månedligt tillæg for øvrige ansatte.  Omfatter ikke pædagogisk personale med pension i PBU/PenSam, Pension Danmark (3F) og Pension for Funktionærer (HK). Ansatte med pensionsordninger: PBU/PenSam, Pension Danmark og Pension for Funktionærer er via pensionsordningen omfattet af gruppeliv.</t>
  </si>
  <si>
    <t>Praktikansvarlige og oplæringsvejledere jf. §16 stk. 6</t>
  </si>
  <si>
    <t>Overenskomsttillæg</t>
  </si>
  <si>
    <t>Overenskomsttillæg til pædagoger</t>
  </si>
  <si>
    <t xml:space="preserve">Overenskomsttillæg </t>
  </si>
  <si>
    <t xml:space="preserve">Arbejdsmiljørrepræsentanter der også er valgt som tillidsrepresentant		</t>
  </si>
  <si>
    <t>Gældende fra 1. januar 2025</t>
  </si>
  <si>
    <t>Trepartstillæg.</t>
  </si>
  <si>
    <t xml:space="preserve">Trepartstillæg. </t>
  </si>
  <si>
    <t>ATPbidrag (A-bidrag)</t>
  </si>
  <si>
    <t>43, 44</t>
  </si>
  <si>
    <t>43, 44, 46</t>
  </si>
  <si>
    <t>30, 31, 33, 35, 38, 39</t>
  </si>
  <si>
    <t>Pædagoguddannede med 15 års anciennitet eller mere</t>
  </si>
  <si>
    <r>
      <t xml:space="preserve">Lønforløb for øvrigt pædagogisk personale </t>
    </r>
    <r>
      <rPr>
        <b/>
        <sz val="10"/>
        <rFont val="Arial"/>
        <family val="2"/>
      </rPr>
      <t>(oprykning efter 2 års anciennitet, dog undtaget pædagoger med 15 års anciennitet)</t>
    </r>
  </si>
  <si>
    <t>Overenskomsttillæg til pædagogiske assistenter</t>
  </si>
  <si>
    <t>Overenskomsttillæg til pædagogmedhjælpere</t>
  </si>
  <si>
    <t>Tillæg til trin 17(17+t)</t>
  </si>
  <si>
    <t>Årligt tillæg- udbetales med 1/12 pr. mdr. I ovennænvte skalatrinstabel fremgår tillæggene som hhv. 14+t, 17+t og 21+t</t>
  </si>
  <si>
    <t>17+t</t>
  </si>
  <si>
    <t>Afhængig af beskæftigelsesgrad. Pensionsgivende.</t>
  </si>
  <si>
    <t>OK-2024 tillæg (tidligere OK-18 tillæg)</t>
  </si>
  <si>
    <t>OK24-tillæg</t>
  </si>
  <si>
    <t>For lærere og bh.kl.ledere med tjenestemandspension er de "pensionsgivende løndele" ikke nødvendigvis pensionsgivende, bortset fra soucheftillæg, OK13-tillæg og OK24-tillæg.</t>
  </si>
  <si>
    <t>Løn - 2. lønnede praktikperiode</t>
  </si>
  <si>
    <t>Løn - 1. lønnede praktikperiode</t>
  </si>
  <si>
    <t>Årligt tillæg (udbetales med 1/12 pr. måned i normperioden)</t>
  </si>
  <si>
    <t>Pr. praktikgruppe pr. praktikforløb (Udbetales med 1/12 pr. måned i normperioden)</t>
  </si>
  <si>
    <t>Intern prøve/forårsprøven og professionsprøven (Tillægget ydes pr. prøve)</t>
  </si>
  <si>
    <t>(Ansatte, der ydes tillæg efter §§ 3 eller 4, kan ikke samtidig ydes tillæg efter § 5)</t>
  </si>
  <si>
    <t>Pr. undervisningstime (Opgøres og udbetales mdr. vis)</t>
  </si>
  <si>
    <t>Vejlednings- og bedømmelsesopgaver aflønnes på én af følgende måder (Aftalens § 3):</t>
  </si>
  <si>
    <t>Koordinerings- og organiseringsopgaver (Aftalens § 4)</t>
  </si>
  <si>
    <t>Praktikundervisning (Aftalens § 5)</t>
  </si>
  <si>
    <t>Vedr. lærerstuderendes praktik om uddannelsen til professionsbachelor til lærer i folkeskolen, herunder meritlæreruddannelsen.</t>
  </si>
  <si>
    <t>3.2. Pr. vejledningstime (Pr. påbegyndt halve time. Opgøres og udbetales mdr. vis)</t>
  </si>
  <si>
    <t>3.1. Pr. praktikgruppe pr. praktikforløb (Tillægget ydes efter praktikforløbets 
afslutning)</t>
  </si>
  <si>
    <t>Tillæggene er beskrevet i fanen "lærere og bh. kl. ledere)</t>
  </si>
  <si>
    <t>Gældende fra 1. november 2025</t>
  </si>
  <si>
    <t>Denne løntabel er gældende til og med d. 31. december 2025</t>
  </si>
  <si>
    <t>Reguleringsprocenten ændres d. 1. november 2025 fra 23,3095 til 24,9126</t>
  </si>
  <si>
    <t>01/11/25</t>
  </si>
  <si>
    <t xml:space="preserve">Aftalt løn kr. 36.500,- pr. Måned </t>
  </si>
  <si>
    <t>Skalatrinslønnen nærmest herunder på skalatrin 40: kr. 36.123,42 pr. måned.</t>
  </si>
  <si>
    <t>Pensionstilsvaret bliver 15% af den pensionsgivende løn på skalatrin 40 = 15% af kr. 36.123,42 pr. måned = kr. 5.418,51</t>
  </si>
  <si>
    <t>Aftalt løn kr. 38.000,- pr. måned</t>
  </si>
  <si>
    <t>Skalatrinslønnen nærmest herunder på skalatrin 42: kr. 37.646,50 pr. måned.</t>
  </si>
  <si>
    <t>Pensionstilsvaret bliver 15% af den pensionsgivende løn på skalatrin 42 = 15% af kr. 37.646,50 pr. måned = kr. 5.646,98</t>
  </si>
  <si>
    <t>Praktikaflønning - satser (Ny aftale gældende pr. 01.08.25)</t>
  </si>
  <si>
    <t>Praktikaflønning - satser til øvrige leder (Ny aftale gældende pr. 01.08.25)</t>
  </si>
  <si>
    <t>Udgivet d. 7.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</si>
</sst>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dd:mm:yyyy;@"/>
    <numFmt numFmtId="166" formatCode="0.0000"/>
    <numFmt numFmtId="167" formatCode="dd/mm/yy;@"/>
    <numFmt numFmtId="168" formatCode="_(* #,##0.00_);_(* \(#,##0.00\);_(* &quot;-&quot;??_);_(@_)"/>
    <numFmt numFmtId="169" formatCode="_(&quot;kr&quot;\ * #,##0.00_);_(&quot;kr&quot;\ * \(#,##0.00\);_(&quot;kr&quot;\ * &quot;-&quot;??_);_(@_)"/>
  </numFmts>
  <fonts count="7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Helvetica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Times New Roman"/>
      <family val="1"/>
    </font>
    <font>
      <sz val="16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3"/>
      <color theme="1"/>
      <name val="Arial"/>
      <family val="2"/>
    </font>
    <font>
      <sz val="20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Helv"/>
    </font>
    <font>
      <sz val="11"/>
      <color indexed="8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4"/>
      <name val="Arial"/>
      <family val="2"/>
    </font>
    <font>
      <i/>
      <sz val="10"/>
      <name val="Times New Roman"/>
      <family val="1"/>
    </font>
    <font>
      <b/>
      <sz val="16"/>
      <color rgb="FF000000"/>
      <name val="Arial"/>
      <family val="2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 (Tekst)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i/>
      <sz val="10"/>
      <color theme="1"/>
      <name val="Arial"/>
      <family val="2"/>
    </font>
    <font>
      <sz val="11"/>
      <color theme="0" tint="-0.34998626667073579"/>
      <name val="Times New Roman"/>
      <family val="1"/>
    </font>
    <font>
      <sz val="11"/>
      <color theme="0" tint="-0.34998626667073579"/>
      <name val="Calibri"/>
      <family val="2"/>
      <scheme val="minor"/>
    </font>
    <font>
      <i/>
      <sz val="14"/>
      <color theme="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47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1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44" fillId="0" borderId="0" applyFont="0" applyFill="0" applyBorder="0" applyAlignment="0" applyProtection="0"/>
    <xf numFmtId="168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09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165" fontId="0" fillId="0" borderId="0" xfId="0" applyNumberFormat="1"/>
    <xf numFmtId="4" fontId="4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3" borderId="0" xfId="0" quotePrefix="1" applyFont="1" applyFill="1" applyAlignment="1">
      <alignment vertical="center" wrapText="1"/>
    </xf>
    <xf numFmtId="0" fontId="20" fillId="0" borderId="0" xfId="0" applyFont="1"/>
    <xf numFmtId="166" fontId="19" fillId="0" borderId="8" xfId="0" applyNumberFormat="1" applyFont="1" applyBorder="1"/>
    <xf numFmtId="0" fontId="24" fillId="0" borderId="0" xfId="0" applyFont="1"/>
    <xf numFmtId="0" fontId="21" fillId="0" borderId="0" xfId="0" applyFont="1"/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3" borderId="0" xfId="0" applyFont="1" applyFill="1"/>
    <xf numFmtId="0" fontId="25" fillId="3" borderId="0" xfId="0" applyFont="1" applyFill="1"/>
    <xf numFmtId="166" fontId="19" fillId="3" borderId="8" xfId="0" applyNumberFormat="1" applyFont="1" applyFill="1" applyBorder="1"/>
    <xf numFmtId="0" fontId="2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 vertical="center" wrapText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23" xfId="0" applyFont="1" applyFill="1" applyBorder="1" applyAlignment="1">
      <alignment horizontal="right"/>
    </xf>
    <xf numFmtId="2" fontId="13" fillId="0" borderId="0" xfId="0" applyNumberFormat="1" applyFont="1" applyAlignment="1">
      <alignment horizontal="center"/>
    </xf>
    <xf numFmtId="4" fontId="13" fillId="0" borderId="0" xfId="0" applyNumberFormat="1" applyFont="1"/>
    <xf numFmtId="164" fontId="13" fillId="0" borderId="0" xfId="80" applyFont="1" applyBorder="1" applyAlignment="1">
      <alignment horizontal="right" vertical="center" wrapText="1"/>
    </xf>
    <xf numFmtId="164" fontId="13" fillId="3" borderId="0" xfId="80" applyFont="1" applyFill="1" applyBorder="1" applyAlignment="1">
      <alignment vertical="center"/>
    </xf>
    <xf numFmtId="164" fontId="13" fillId="0" borderId="0" xfId="80" applyFont="1" applyBorder="1" applyAlignment="1">
      <alignment horizontal="right" vertical="center"/>
    </xf>
    <xf numFmtId="164" fontId="13" fillId="0" borderId="0" xfId="80" applyFont="1" applyBorder="1" applyAlignment="1">
      <alignment horizontal="right"/>
    </xf>
    <xf numFmtId="0" fontId="13" fillId="3" borderId="0" xfId="0" applyFont="1" applyFill="1" applyAlignment="1">
      <alignment horizontal="center" wrapText="1"/>
    </xf>
    <xf numFmtId="0" fontId="13" fillId="3" borderId="23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4" fontId="13" fillId="3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center"/>
    </xf>
    <xf numFmtId="4" fontId="13" fillId="3" borderId="0" xfId="0" applyNumberFormat="1" applyFont="1" applyFill="1" applyAlignment="1">
      <alignment horizontal="center"/>
    </xf>
    <xf numFmtId="0" fontId="13" fillId="3" borderId="0" xfId="0" applyFont="1" applyFill="1"/>
    <xf numFmtId="0" fontId="4" fillId="3" borderId="0" xfId="0" applyFont="1" applyFill="1"/>
    <xf numFmtId="0" fontId="16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 vertical="center" wrapText="1"/>
    </xf>
    <xf numFmtId="14" fontId="29" fillId="5" borderId="0" xfId="0" applyNumberFormat="1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 wrapText="1"/>
    </xf>
    <xf numFmtId="0" fontId="16" fillId="3" borderId="0" xfId="0" applyFont="1" applyFill="1"/>
    <xf numFmtId="0" fontId="12" fillId="3" borderId="0" xfId="0" applyFont="1" applyFill="1" applyAlignment="1">
      <alignment vertical="center"/>
    </xf>
    <xf numFmtId="14" fontId="13" fillId="3" borderId="0" xfId="0" applyNumberFormat="1" applyFont="1" applyFill="1" applyAlignment="1">
      <alignment horizontal="center" wrapText="1"/>
    </xf>
    <xf numFmtId="14" fontId="32" fillId="3" borderId="0" xfId="0" applyNumberFormat="1" applyFont="1" applyFill="1" applyAlignment="1">
      <alignment horizontal="center"/>
    </xf>
    <xf numFmtId="4" fontId="15" fillId="0" borderId="0" xfId="0" applyNumberFormat="1" applyFont="1"/>
    <xf numFmtId="0" fontId="13" fillId="3" borderId="0" xfId="0" applyFont="1" applyFill="1" applyAlignment="1">
      <alignment horizontal="left" vertical="center" wrapText="1"/>
    </xf>
    <xf numFmtId="0" fontId="0" fillId="3" borderId="0" xfId="0" applyFill="1"/>
    <xf numFmtId="0" fontId="13" fillId="3" borderId="0" xfId="0" applyFont="1" applyFill="1" applyAlignment="1">
      <alignment horizontal="right" vertical="center"/>
    </xf>
    <xf numFmtId="2" fontId="13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13" fillId="3" borderId="0" xfId="0" applyFont="1" applyFill="1" applyAlignment="1">
      <alignment horizontal="right"/>
    </xf>
    <xf numFmtId="4" fontId="13" fillId="3" borderId="0" xfId="0" applyNumberFormat="1" applyFont="1" applyFill="1" applyAlignment="1">
      <alignment horizontal="right"/>
    </xf>
    <xf numFmtId="4" fontId="13" fillId="3" borderId="0" xfId="0" applyNumberFormat="1" applyFont="1" applyFill="1" applyAlignment="1">
      <alignment horizontal="center" vertical="center" wrapText="1"/>
    </xf>
    <xf numFmtId="0" fontId="32" fillId="3" borderId="0" xfId="0" applyFont="1" applyFill="1"/>
    <xf numFmtId="14" fontId="32" fillId="3" borderId="0" xfId="0" applyNumberFormat="1" applyFont="1" applyFill="1"/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14" fontId="15" fillId="3" borderId="0" xfId="0" applyNumberFormat="1" applyFont="1" applyFill="1" applyAlignment="1">
      <alignment horizontal="left"/>
    </xf>
    <xf numFmtId="14" fontId="15" fillId="3" borderId="0" xfId="0" applyNumberFormat="1" applyFont="1" applyFill="1" applyAlignment="1">
      <alignment horizontal="left" vertical="center" wrapText="1"/>
    </xf>
    <xf numFmtId="14" fontId="14" fillId="3" borderId="0" xfId="0" applyNumberFormat="1" applyFont="1" applyFill="1" applyAlignment="1">
      <alignment horizontal="center" vertical="center" wrapText="1"/>
    </xf>
    <xf numFmtId="0" fontId="13" fillId="4" borderId="62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14" fontId="19" fillId="3" borderId="7" xfId="0" applyNumberFormat="1" applyFont="1" applyFill="1" applyBorder="1" applyAlignment="1">
      <alignment horizontal="center"/>
    </xf>
    <xf numFmtId="0" fontId="21" fillId="4" borderId="42" xfId="0" applyFont="1" applyFill="1" applyBorder="1"/>
    <xf numFmtId="0" fontId="15" fillId="4" borderId="46" xfId="0" applyFont="1" applyFill="1" applyBorder="1" applyAlignment="1">
      <alignment horizontal="center"/>
    </xf>
    <xf numFmtId="0" fontId="15" fillId="4" borderId="49" xfId="0" applyFont="1" applyFill="1" applyBorder="1" applyAlignment="1">
      <alignment horizontal="center"/>
    </xf>
    <xf numFmtId="0" fontId="15" fillId="4" borderId="50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wrapText="1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3" fontId="15" fillId="3" borderId="27" xfId="0" applyNumberFormat="1" applyFont="1" applyFill="1" applyBorder="1" applyAlignment="1">
      <alignment horizontal="center" vertical="center"/>
    </xf>
    <xf numFmtId="3" fontId="15" fillId="3" borderId="47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5" fillId="3" borderId="44" xfId="0" applyNumberFormat="1" applyFont="1" applyFill="1" applyBorder="1" applyAlignment="1">
      <alignment horizontal="center"/>
    </xf>
    <xf numFmtId="3" fontId="15" fillId="3" borderId="44" xfId="0" applyNumberFormat="1" applyFont="1" applyFill="1" applyBorder="1" applyAlignment="1">
      <alignment horizontal="center" vertical="center"/>
    </xf>
    <xf numFmtId="3" fontId="15" fillId="3" borderId="21" xfId="0" applyNumberFormat="1" applyFont="1" applyFill="1" applyBorder="1" applyAlignment="1">
      <alignment horizontal="center" vertical="center"/>
    </xf>
    <xf numFmtId="3" fontId="15" fillId="3" borderId="24" xfId="0" applyNumberFormat="1" applyFont="1" applyFill="1" applyBorder="1" applyAlignment="1">
      <alignment horizontal="center" vertical="center"/>
    </xf>
    <xf numFmtId="3" fontId="15" fillId="3" borderId="22" xfId="0" applyNumberFormat="1" applyFont="1" applyFill="1" applyBorder="1" applyAlignment="1">
      <alignment horizontal="center" vertical="center"/>
    </xf>
    <xf numFmtId="0" fontId="33" fillId="6" borderId="53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wrapText="1"/>
    </xf>
    <xf numFmtId="4" fontId="13" fillId="3" borderId="49" xfId="0" applyNumberFormat="1" applyFont="1" applyFill="1" applyBorder="1" applyAlignment="1">
      <alignment horizontal="center" vertical="center" wrapText="1"/>
    </xf>
    <xf numFmtId="4" fontId="13" fillId="3" borderId="50" xfId="0" applyNumberFormat="1" applyFont="1" applyFill="1" applyBorder="1" applyAlignment="1">
      <alignment horizontal="center" vertical="center" wrapText="1"/>
    </xf>
    <xf numFmtId="4" fontId="13" fillId="3" borderId="46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38" fillId="0" borderId="0" xfId="0" applyFont="1"/>
    <xf numFmtId="0" fontId="0" fillId="3" borderId="0" xfId="0" applyFill="1" applyAlignment="1">
      <alignment horizontal="center"/>
    </xf>
    <xf numFmtId="14" fontId="15" fillId="3" borderId="0" xfId="0" applyNumberFormat="1" applyFont="1" applyFill="1"/>
    <xf numFmtId="4" fontId="15" fillId="3" borderId="0" xfId="0" applyNumberFormat="1" applyFont="1" applyFill="1" applyAlignment="1">
      <alignment horizontal="left"/>
    </xf>
    <xf numFmtId="0" fontId="15" fillId="3" borderId="28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left"/>
    </xf>
    <xf numFmtId="3" fontId="15" fillId="3" borderId="2" xfId="0" applyNumberFormat="1" applyFont="1" applyFill="1" applyBorder="1" applyAlignment="1">
      <alignment horizontal="center" vertical="center"/>
    </xf>
    <xf numFmtId="3" fontId="15" fillId="3" borderId="45" xfId="0" applyNumberFormat="1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>
      <alignment horizontal="center"/>
    </xf>
    <xf numFmtId="3" fontId="15" fillId="3" borderId="19" xfId="0" applyNumberFormat="1" applyFont="1" applyFill="1" applyBorder="1" applyAlignment="1">
      <alignment horizontal="center" vertical="center"/>
    </xf>
    <xf numFmtId="3" fontId="15" fillId="3" borderId="20" xfId="0" applyNumberFormat="1" applyFont="1" applyFill="1" applyBorder="1" applyAlignment="1">
      <alignment horizontal="center" vertical="center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30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0" fontId="33" fillId="0" borderId="46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4" fillId="0" borderId="0" xfId="0" applyFont="1" applyAlignment="1">
      <alignment wrapText="1"/>
    </xf>
    <xf numFmtId="167" fontId="26" fillId="3" borderId="0" xfId="0" applyNumberFormat="1" applyFont="1" applyFill="1" applyAlignment="1">
      <alignment horizontal="center"/>
    </xf>
    <xf numFmtId="0" fontId="15" fillId="4" borderId="4" xfId="0" applyFont="1" applyFill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5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0" borderId="37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4" fontId="15" fillId="0" borderId="55" xfId="0" applyNumberFormat="1" applyFont="1" applyBorder="1" applyAlignment="1">
      <alignment horizontal="center"/>
    </xf>
    <xf numFmtId="3" fontId="15" fillId="0" borderId="33" xfId="0" applyNumberFormat="1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3" fontId="15" fillId="0" borderId="38" xfId="0" applyNumberFormat="1" applyFont="1" applyBorder="1" applyAlignment="1">
      <alignment horizontal="center"/>
    </xf>
    <xf numFmtId="2" fontId="15" fillId="0" borderId="39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15" fillId="4" borderId="62" xfId="0" applyFont="1" applyFill="1" applyBorder="1" applyAlignment="1">
      <alignment horizontal="center"/>
    </xf>
    <xf numFmtId="4" fontId="33" fillId="0" borderId="45" xfId="0" applyNumberFormat="1" applyFont="1" applyBorder="1" applyAlignment="1">
      <alignment horizontal="center"/>
    </xf>
    <xf numFmtId="4" fontId="33" fillId="0" borderId="22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center"/>
    </xf>
    <xf numFmtId="4" fontId="15" fillId="0" borderId="57" xfId="0" applyNumberFormat="1" applyFont="1" applyBorder="1" applyAlignment="1">
      <alignment horizontal="center"/>
    </xf>
    <xf numFmtId="4" fontId="15" fillId="0" borderId="62" xfId="0" applyNumberFormat="1" applyFont="1" applyBorder="1" applyAlignment="1">
      <alignment horizontal="center"/>
    </xf>
    <xf numFmtId="4" fontId="15" fillId="0" borderId="50" xfId="0" applyNumberFormat="1" applyFont="1" applyBorder="1" applyAlignment="1">
      <alignment horizontal="center"/>
    </xf>
    <xf numFmtId="4" fontId="15" fillId="0" borderId="41" xfId="0" applyNumberFormat="1" applyFont="1" applyBorder="1" applyAlignment="1">
      <alignment horizontal="center"/>
    </xf>
    <xf numFmtId="2" fontId="15" fillId="0" borderId="53" xfId="0" applyNumberFormat="1" applyFont="1" applyBorder="1" applyAlignment="1">
      <alignment horizontal="center"/>
    </xf>
    <xf numFmtId="0" fontId="15" fillId="3" borderId="3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center"/>
    </xf>
    <xf numFmtId="4" fontId="15" fillId="3" borderId="28" xfId="0" applyNumberFormat="1" applyFont="1" applyFill="1" applyBorder="1" applyAlignment="1">
      <alignment horizontal="center" vertical="center"/>
    </xf>
    <xf numFmtId="4" fontId="15" fillId="3" borderId="30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4" fontId="15" fillId="3" borderId="45" xfId="0" applyNumberFormat="1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/>
    </xf>
    <xf numFmtId="4" fontId="15" fillId="3" borderId="21" xfId="0" applyNumberFormat="1" applyFont="1" applyFill="1" applyBorder="1" applyAlignment="1">
      <alignment horizontal="center" vertical="center"/>
    </xf>
    <xf numFmtId="4" fontId="15" fillId="3" borderId="22" xfId="0" applyNumberFormat="1" applyFont="1" applyFill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/>
    </xf>
    <xf numFmtId="4" fontId="15" fillId="0" borderId="49" xfId="0" applyNumberFormat="1" applyFont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4" fontId="15" fillId="0" borderId="40" xfId="0" applyNumberFormat="1" applyFont="1" applyBorder="1" applyAlignment="1">
      <alignment horizontal="right"/>
    </xf>
    <xf numFmtId="4" fontId="15" fillId="0" borderId="62" xfId="0" applyNumberFormat="1" applyFont="1" applyBorder="1" applyAlignment="1">
      <alignment horizontal="right"/>
    </xf>
    <xf numFmtId="4" fontId="15" fillId="0" borderId="33" xfId="0" applyNumberFormat="1" applyFont="1" applyBorder="1" applyAlignment="1">
      <alignment horizontal="right"/>
    </xf>
    <xf numFmtId="4" fontId="15" fillId="0" borderId="39" xfId="0" applyNumberFormat="1" applyFont="1" applyBorder="1" applyAlignment="1">
      <alignment horizontal="right"/>
    </xf>
    <xf numFmtId="4" fontId="15" fillId="0" borderId="46" xfId="0" applyNumberFormat="1" applyFont="1" applyBorder="1" applyAlignment="1">
      <alignment horizontal="right"/>
    </xf>
    <xf numFmtId="4" fontId="15" fillId="0" borderId="35" xfId="0" applyNumberFormat="1" applyFont="1" applyBorder="1" applyAlignment="1">
      <alignment horizontal="right"/>
    </xf>
    <xf numFmtId="4" fontId="15" fillId="0" borderId="50" xfId="0" applyNumberFormat="1" applyFont="1" applyBorder="1" applyAlignment="1">
      <alignment horizontal="right"/>
    </xf>
    <xf numFmtId="4" fontId="15" fillId="0" borderId="18" xfId="0" applyNumberFormat="1" applyFont="1" applyBorder="1" applyAlignment="1">
      <alignment horizontal="right"/>
    </xf>
    <xf numFmtId="4" fontId="15" fillId="0" borderId="25" xfId="0" applyNumberFormat="1" applyFont="1" applyBorder="1" applyAlignment="1">
      <alignment horizontal="right"/>
    </xf>
    <xf numFmtId="4" fontId="15" fillId="0" borderId="26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/>
    </xf>
    <xf numFmtId="0" fontId="33" fillId="4" borderId="33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4" fontId="33" fillId="0" borderId="40" xfId="0" applyNumberFormat="1" applyFont="1" applyBorder="1" applyAlignment="1">
      <alignment horizontal="right"/>
    </xf>
    <xf numFmtId="4" fontId="33" fillId="0" borderId="33" xfId="0" applyNumberFormat="1" applyFont="1" applyBorder="1" applyAlignment="1">
      <alignment horizontal="right"/>
    </xf>
    <xf numFmtId="4" fontId="15" fillId="0" borderId="6" xfId="0" applyNumberFormat="1" applyFont="1" applyBorder="1"/>
    <xf numFmtId="4" fontId="15" fillId="3" borderId="62" xfId="0" applyNumberFormat="1" applyFont="1" applyFill="1" applyBorder="1" applyAlignment="1">
      <alignment horizontal="center"/>
    </xf>
    <xf numFmtId="4" fontId="15" fillId="3" borderId="50" xfId="0" applyNumberFormat="1" applyFont="1" applyFill="1" applyBorder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4" fontId="13" fillId="0" borderId="62" xfId="0" applyNumberFormat="1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14" fontId="13" fillId="3" borderId="7" xfId="0" applyNumberFormat="1" applyFont="1" applyFill="1" applyBorder="1" applyAlignment="1">
      <alignment horizontal="center"/>
    </xf>
    <xf numFmtId="14" fontId="19" fillId="0" borderId="7" xfId="0" applyNumberFormat="1" applyFont="1" applyBorder="1" applyAlignment="1">
      <alignment horizontal="center"/>
    </xf>
    <xf numFmtId="3" fontId="15" fillId="0" borderId="14" xfId="0" quotePrefix="1" applyNumberFormat="1" applyFont="1" applyBorder="1" applyAlignment="1">
      <alignment horizontal="center"/>
    </xf>
    <xf numFmtId="3" fontId="15" fillId="0" borderId="47" xfId="0" quotePrefix="1" applyNumberFormat="1" applyFont="1" applyBorder="1" applyAlignment="1">
      <alignment horizontal="center"/>
    </xf>
    <xf numFmtId="3" fontId="15" fillId="0" borderId="48" xfId="0" quotePrefix="1" applyNumberFormat="1" applyFont="1" applyBorder="1" applyAlignment="1">
      <alignment horizontal="center"/>
    </xf>
    <xf numFmtId="0" fontId="40" fillId="0" borderId="0" xfId="709"/>
    <xf numFmtId="4" fontId="40" fillId="0" borderId="0" xfId="709" applyNumberFormat="1"/>
    <xf numFmtId="2" fontId="40" fillId="0" borderId="0" xfId="709" applyNumberFormat="1"/>
    <xf numFmtId="0" fontId="40" fillId="4" borderId="49" xfId="709" applyFill="1" applyBorder="1" applyAlignment="1">
      <alignment horizontal="center"/>
    </xf>
    <xf numFmtId="0" fontId="40" fillId="4" borderId="50" xfId="709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4" fontId="40" fillId="3" borderId="0" xfId="709" applyNumberFormat="1" applyFill="1" applyAlignment="1">
      <alignment horizontal="center" vertical="center"/>
    </xf>
    <xf numFmtId="4" fontId="40" fillId="3" borderId="0" xfId="709" applyNumberFormat="1" applyFill="1" applyAlignment="1">
      <alignment vertical="center"/>
    </xf>
    <xf numFmtId="4" fontId="15" fillId="0" borderId="46" xfId="0" applyNumberFormat="1" applyFont="1" applyBorder="1" applyAlignment="1">
      <alignment horizontal="center"/>
    </xf>
    <xf numFmtId="4" fontId="15" fillId="0" borderId="43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42" fillId="0" borderId="0" xfId="709" applyFont="1"/>
    <xf numFmtId="0" fontId="42" fillId="0" borderId="0" xfId="709" applyFont="1" applyAlignment="1">
      <alignment horizontal="center"/>
    </xf>
    <xf numFmtId="166" fontId="40" fillId="0" borderId="0" xfId="709" applyNumberFormat="1" applyAlignment="1">
      <alignment horizontal="center"/>
    </xf>
    <xf numFmtId="166" fontId="40" fillId="0" borderId="0" xfId="709" applyNumberFormat="1"/>
    <xf numFmtId="0" fontId="43" fillId="0" borderId="0" xfId="709" applyFont="1"/>
    <xf numFmtId="169" fontId="43" fillId="0" borderId="0" xfId="775" applyFont="1"/>
    <xf numFmtId="0" fontId="43" fillId="0" borderId="0" xfId="709" applyFont="1" applyAlignment="1">
      <alignment horizontal="left"/>
    </xf>
    <xf numFmtId="0" fontId="39" fillId="0" borderId="0" xfId="709" applyFont="1" applyAlignment="1">
      <alignment horizontal="center"/>
    </xf>
    <xf numFmtId="168" fontId="39" fillId="0" borderId="0" xfId="773" applyFont="1" applyBorder="1" applyAlignment="1">
      <alignment horizontal="justify" wrapText="1"/>
    </xf>
    <xf numFmtId="0" fontId="15" fillId="4" borderId="47" xfId="0" applyFont="1" applyFill="1" applyBorder="1" applyAlignment="1">
      <alignment vertical="center" wrapText="1" shrinkToFit="1"/>
    </xf>
    <xf numFmtId="0" fontId="15" fillId="4" borderId="48" xfId="0" applyFont="1" applyFill="1" applyBorder="1" applyAlignment="1">
      <alignment vertical="center" wrapText="1" shrinkToFit="1"/>
    </xf>
    <xf numFmtId="0" fontId="15" fillId="4" borderId="27" xfId="0" applyFont="1" applyFill="1" applyBorder="1" applyAlignment="1">
      <alignment vertical="center" wrapText="1" shrinkToFit="1"/>
    </xf>
    <xf numFmtId="0" fontId="15" fillId="4" borderId="27" xfId="0" applyFont="1" applyFill="1" applyBorder="1" applyAlignment="1">
      <alignment horizontal="left" vertical="center" wrapText="1" shrinkToFit="1"/>
    </xf>
    <xf numFmtId="168" fontId="15" fillId="0" borderId="0" xfId="773" applyFont="1"/>
    <xf numFmtId="0" fontId="39" fillId="0" borderId="0" xfId="709" applyFont="1"/>
    <xf numFmtId="168" fontId="39" fillId="0" borderId="0" xfId="773" applyFont="1"/>
    <xf numFmtId="0" fontId="48" fillId="0" borderId="0" xfId="709" applyFont="1"/>
    <xf numFmtId="4" fontId="39" fillId="0" borderId="0" xfId="709" applyNumberFormat="1" applyFont="1"/>
    <xf numFmtId="0" fontId="39" fillId="4" borderId="51" xfId="709" applyFont="1" applyFill="1" applyBorder="1"/>
    <xf numFmtId="0" fontId="39" fillId="4" borderId="52" xfId="709" applyFont="1" applyFill="1" applyBorder="1"/>
    <xf numFmtId="0" fontId="39" fillId="4" borderId="53" xfId="709" applyFont="1" applyFill="1" applyBorder="1"/>
    <xf numFmtId="0" fontId="15" fillId="4" borderId="36" xfId="0" applyFont="1" applyFill="1" applyBorder="1" applyAlignment="1">
      <alignment vertical="center" wrapText="1" shrinkToFit="1"/>
    </xf>
    <xf numFmtId="168" fontId="39" fillId="3" borderId="0" xfId="773" applyFont="1" applyFill="1" applyBorder="1" applyAlignment="1">
      <alignment horizontal="justify" wrapText="1"/>
    </xf>
    <xf numFmtId="0" fontId="39" fillId="3" borderId="0" xfId="709" applyFont="1" applyFill="1" applyAlignment="1">
      <alignment horizontal="center" vertical="top" wrapText="1"/>
    </xf>
    <xf numFmtId="0" fontId="39" fillId="3" borderId="19" xfId="709" applyFont="1" applyFill="1" applyBorder="1" applyAlignment="1">
      <alignment horizontal="center" vertical="top" wrapText="1"/>
    </xf>
    <xf numFmtId="0" fontId="15" fillId="3" borderId="0" xfId="0" applyFont="1" applyFill="1" applyAlignment="1">
      <alignment vertical="center" wrapText="1" shrinkToFit="1"/>
    </xf>
    <xf numFmtId="0" fontId="43" fillId="4" borderId="48" xfId="709" applyFont="1" applyFill="1" applyBorder="1"/>
    <xf numFmtId="0" fontId="39" fillId="4" borderId="50" xfId="709" applyFont="1" applyFill="1" applyBorder="1" applyAlignment="1">
      <alignment horizontal="center" vertical="top" wrapText="1"/>
    </xf>
    <xf numFmtId="0" fontId="50" fillId="0" borderId="0" xfId="709" applyFont="1" applyAlignment="1">
      <alignment horizontal="center" wrapText="1"/>
    </xf>
    <xf numFmtId="0" fontId="15" fillId="4" borderId="47" xfId="0" applyFont="1" applyFill="1" applyBorder="1" applyAlignment="1">
      <alignment horizontal="left" vertical="center" wrapText="1" shrinkToFit="1"/>
    </xf>
    <xf numFmtId="0" fontId="40" fillId="3" borderId="0" xfId="709" applyFill="1"/>
    <xf numFmtId="4" fontId="39" fillId="0" borderId="0" xfId="709" applyNumberFormat="1" applyFont="1" applyAlignment="1">
      <alignment horizontal="justify" wrapText="1"/>
    </xf>
    <xf numFmtId="2" fontId="39" fillId="0" borderId="0" xfId="709" applyNumberFormat="1" applyFont="1" applyAlignment="1">
      <alignment horizontal="right" wrapText="1"/>
    </xf>
    <xf numFmtId="4" fontId="39" fillId="0" borderId="0" xfId="709" applyNumberFormat="1" applyFont="1" applyAlignment="1">
      <alignment horizontal="right" wrapText="1"/>
    </xf>
    <xf numFmtId="2" fontId="15" fillId="0" borderId="0" xfId="0" applyNumberFormat="1" applyFont="1" applyAlignment="1">
      <alignment horizontal="center"/>
    </xf>
    <xf numFmtId="0" fontId="43" fillId="3" borderId="0" xfId="709" applyFont="1" applyFill="1"/>
    <xf numFmtId="0" fontId="15" fillId="4" borderId="36" xfId="0" applyFont="1" applyFill="1" applyBorder="1" applyAlignment="1">
      <alignment horizontal="left" vertical="center" wrapText="1" shrinkToFit="1"/>
    </xf>
    <xf numFmtId="0" fontId="15" fillId="3" borderId="0" xfId="0" applyFont="1" applyFill="1" applyAlignment="1">
      <alignment horizontal="left" vertical="center" wrapText="1" shrinkToFit="1"/>
    </xf>
    <xf numFmtId="4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0" fontId="39" fillId="3" borderId="0" xfId="709" applyFont="1" applyFill="1"/>
    <xf numFmtId="0" fontId="39" fillId="4" borderId="48" xfId="709" applyFont="1" applyFill="1" applyBorder="1"/>
    <xf numFmtId="0" fontId="39" fillId="4" borderId="56" xfId="709" applyFont="1" applyFill="1" applyBorder="1"/>
    <xf numFmtId="0" fontId="0" fillId="0" borderId="24" xfId="0" applyBorder="1"/>
    <xf numFmtId="0" fontId="0" fillId="0" borderId="21" xfId="0" applyBorder="1"/>
    <xf numFmtId="0" fontId="0" fillId="0" borderId="22" xfId="0" applyBorder="1"/>
    <xf numFmtId="4" fontId="40" fillId="0" borderId="20" xfId="0" applyNumberFormat="1" applyFont="1" applyBorder="1" applyAlignment="1">
      <alignment horizontal="center" vertical="center" wrapText="1"/>
    </xf>
    <xf numFmtId="4" fontId="40" fillId="3" borderId="49" xfId="0" applyNumberFormat="1" applyFont="1" applyFill="1" applyBorder="1" applyAlignment="1">
      <alignment horizontal="center"/>
    </xf>
    <xf numFmtId="4" fontId="40" fillId="0" borderId="20" xfId="0" applyNumberFormat="1" applyFont="1" applyBorder="1" applyAlignment="1">
      <alignment horizontal="center"/>
    </xf>
    <xf numFmtId="4" fontId="40" fillId="0" borderId="49" xfId="0" applyNumberFormat="1" applyFont="1" applyBorder="1" applyAlignment="1">
      <alignment horizontal="center"/>
    </xf>
    <xf numFmtId="10" fontId="4" fillId="0" borderId="0" xfId="0" applyNumberFormat="1" applyFont="1"/>
    <xf numFmtId="4" fontId="15" fillId="0" borderId="44" xfId="0" applyNumberFormat="1" applyFont="1" applyBorder="1" applyAlignment="1">
      <alignment horizontal="center"/>
    </xf>
    <xf numFmtId="0" fontId="45" fillId="4" borderId="34" xfId="709" applyFont="1" applyFill="1" applyBorder="1" applyAlignment="1">
      <alignment horizontal="center" vertical="center" wrapText="1"/>
    </xf>
    <xf numFmtId="0" fontId="45" fillId="4" borderId="21" xfId="709" applyFont="1" applyFill="1" applyBorder="1" applyAlignment="1">
      <alignment horizontal="center" vertical="center" wrapText="1"/>
    </xf>
    <xf numFmtId="168" fontId="40" fillId="0" borderId="46" xfId="773" applyFont="1" applyBorder="1" applyAlignment="1">
      <alignment horizontal="center" wrapText="1"/>
    </xf>
    <xf numFmtId="168" fontId="40" fillId="0" borderId="34" xfId="773" applyFont="1" applyBorder="1" applyAlignment="1">
      <alignment horizontal="center" wrapText="1"/>
    </xf>
    <xf numFmtId="168" fontId="40" fillId="0" borderId="49" xfId="773" applyFont="1" applyBorder="1" applyAlignment="1">
      <alignment horizontal="center" wrapText="1"/>
    </xf>
    <xf numFmtId="4" fontId="40" fillId="0" borderId="44" xfId="709" applyNumberFormat="1" applyBorder="1" applyAlignment="1">
      <alignment horizontal="center" wrapText="1"/>
    </xf>
    <xf numFmtId="2" fontId="40" fillId="0" borderId="49" xfId="709" applyNumberFormat="1" applyBorder="1" applyAlignment="1">
      <alignment horizontal="center" wrapText="1"/>
    </xf>
    <xf numFmtId="4" fontId="40" fillId="0" borderId="49" xfId="709" applyNumberFormat="1" applyBorder="1" applyAlignment="1">
      <alignment horizontal="center" wrapText="1"/>
    </xf>
    <xf numFmtId="168" fontId="40" fillId="0" borderId="43" xfId="773" applyFont="1" applyBorder="1" applyAlignment="1">
      <alignment horizontal="center" wrapText="1"/>
    </xf>
    <xf numFmtId="168" fontId="40" fillId="0" borderId="21" xfId="773" applyFont="1" applyBorder="1" applyAlignment="1">
      <alignment horizontal="center" wrapText="1"/>
    </xf>
    <xf numFmtId="168" fontId="40" fillId="0" borderId="50" xfId="773" applyFont="1" applyBorder="1" applyAlignment="1">
      <alignment horizontal="center" wrapText="1"/>
    </xf>
    <xf numFmtId="4" fontId="40" fillId="0" borderId="56" xfId="709" applyNumberFormat="1" applyBorder="1" applyAlignment="1">
      <alignment horizontal="center" wrapText="1"/>
    </xf>
    <xf numFmtId="2" fontId="40" fillId="0" borderId="50" xfId="709" applyNumberFormat="1" applyBorder="1" applyAlignment="1">
      <alignment horizontal="center" wrapText="1"/>
    </xf>
    <xf numFmtId="4" fontId="40" fillId="0" borderId="50" xfId="709" applyNumberFormat="1" applyBorder="1" applyAlignment="1">
      <alignment horizontal="center" wrapText="1"/>
    </xf>
    <xf numFmtId="0" fontId="40" fillId="4" borderId="46" xfId="709" applyFill="1" applyBorder="1" applyAlignment="1">
      <alignment horizontal="center" vertical="top" wrapText="1"/>
    </xf>
    <xf numFmtId="0" fontId="40" fillId="4" borderId="43" xfId="709" applyFill="1" applyBorder="1" applyAlignment="1">
      <alignment horizontal="center" vertical="top" wrapText="1"/>
    </xf>
    <xf numFmtId="168" fontId="40" fillId="3" borderId="48" xfId="773" applyFont="1" applyFill="1" applyBorder="1" applyAlignment="1">
      <alignment horizontal="center" vertical="center" wrapText="1"/>
    </xf>
    <xf numFmtId="168" fontId="40" fillId="3" borderId="50" xfId="773" applyFont="1" applyFill="1" applyBorder="1" applyAlignment="1">
      <alignment horizontal="center" vertical="center" wrapText="1"/>
    </xf>
    <xf numFmtId="168" fontId="40" fillId="3" borderId="36" xfId="773" applyFont="1" applyFill="1" applyBorder="1" applyAlignment="1">
      <alignment horizontal="center" vertical="center" wrapText="1"/>
    </xf>
    <xf numFmtId="0" fontId="40" fillId="4" borderId="50" xfId="709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/>
    </xf>
    <xf numFmtId="4" fontId="13" fillId="0" borderId="62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4" fontId="13" fillId="0" borderId="49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4" fontId="13" fillId="0" borderId="50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4" fontId="13" fillId="0" borderId="41" xfId="0" applyNumberFormat="1" applyFont="1" applyBorder="1" applyAlignment="1">
      <alignment horizontal="center"/>
    </xf>
    <xf numFmtId="4" fontId="13" fillId="0" borderId="22" xfId="0" applyNumberFormat="1" applyFont="1" applyBorder="1" applyAlignment="1">
      <alignment horizontal="center"/>
    </xf>
    <xf numFmtId="0" fontId="14" fillId="4" borderId="54" xfId="0" applyFont="1" applyFill="1" applyBorder="1" applyAlignment="1">
      <alignment horizontal="center" wrapText="1"/>
    </xf>
    <xf numFmtId="14" fontId="14" fillId="4" borderId="43" xfId="0" applyNumberFormat="1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/>
    </xf>
    <xf numFmtId="14" fontId="14" fillId="4" borderId="22" xfId="0" applyNumberFormat="1" applyFont="1" applyFill="1" applyBorder="1" applyAlignment="1">
      <alignment horizontal="center"/>
    </xf>
    <xf numFmtId="9" fontId="14" fillId="4" borderId="54" xfId="0" applyNumberFormat="1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14" fontId="14" fillId="4" borderId="54" xfId="0" applyNumberFormat="1" applyFont="1" applyFill="1" applyBorder="1" applyAlignment="1">
      <alignment horizontal="center" vertical="center" wrapText="1"/>
    </xf>
    <xf numFmtId="14" fontId="34" fillId="6" borderId="20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wrapText="1"/>
    </xf>
    <xf numFmtId="14" fontId="14" fillId="4" borderId="43" xfId="0" applyNumberFormat="1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62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14" fillId="4" borderId="68" xfId="0" applyFont="1" applyFill="1" applyBorder="1" applyAlignment="1">
      <alignment horizontal="center"/>
    </xf>
    <xf numFmtId="4" fontId="39" fillId="0" borderId="49" xfId="709" applyNumberFormat="1" applyFont="1" applyBorder="1" applyAlignment="1">
      <alignment horizontal="center" vertical="center" wrapText="1"/>
    </xf>
    <xf numFmtId="4" fontId="39" fillId="0" borderId="50" xfId="709" applyNumberFormat="1" applyFont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/>
    </xf>
    <xf numFmtId="14" fontId="14" fillId="4" borderId="24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/>
    </xf>
    <xf numFmtId="0" fontId="14" fillId="4" borderId="43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4" fontId="15" fillId="0" borderId="48" xfId="0" applyNumberFormat="1" applyFont="1" applyBorder="1" applyAlignment="1">
      <alignment horizontal="center"/>
    </xf>
    <xf numFmtId="4" fontId="15" fillId="0" borderId="36" xfId="0" applyNumberFormat="1" applyFont="1" applyBorder="1" applyAlignment="1">
      <alignment horizontal="center"/>
    </xf>
    <xf numFmtId="4" fontId="15" fillId="0" borderId="47" xfId="0" applyNumberFormat="1" applyFont="1" applyBorder="1" applyAlignment="1">
      <alignment horizontal="center"/>
    </xf>
    <xf numFmtId="4" fontId="15" fillId="0" borderId="35" xfId="0" applyNumberFormat="1" applyFont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4" borderId="56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40" fillId="4" borderId="46" xfId="709" applyFill="1" applyBorder="1" applyAlignment="1">
      <alignment horizontal="center" vertical="center" wrapText="1"/>
    </xf>
    <xf numFmtId="4" fontId="15" fillId="0" borderId="34" xfId="0" applyNumberFormat="1" applyFont="1" applyBorder="1" applyAlignment="1">
      <alignment horizontal="center"/>
    </xf>
    <xf numFmtId="0" fontId="14" fillId="4" borderId="52" xfId="0" applyFont="1" applyFill="1" applyBorder="1" applyAlignment="1">
      <alignment horizontal="center" vertical="center"/>
    </xf>
    <xf numFmtId="4" fontId="15" fillId="0" borderId="56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4" borderId="7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4" fontId="14" fillId="4" borderId="17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4" fontId="39" fillId="0" borderId="5" xfId="35" applyNumberFormat="1" applyFont="1" applyBorder="1" applyAlignment="1">
      <alignment horizontal="center"/>
    </xf>
    <xf numFmtId="4" fontId="15" fillId="0" borderId="8" xfId="0" applyNumberFormat="1" applyFont="1" applyBorder="1"/>
    <xf numFmtId="4" fontId="39" fillId="0" borderId="39" xfId="35" applyNumberFormat="1" applyFont="1" applyBorder="1" applyAlignment="1">
      <alignment horizontal="center"/>
    </xf>
    <xf numFmtId="4" fontId="15" fillId="0" borderId="37" xfId="0" applyNumberFormat="1" applyFont="1" applyBorder="1"/>
    <xf numFmtId="0" fontId="15" fillId="4" borderId="3" xfId="0" applyFont="1" applyFill="1" applyBorder="1" applyAlignment="1">
      <alignment horizontal="center"/>
    </xf>
    <xf numFmtId="0" fontId="15" fillId="4" borderId="73" xfId="0" applyFont="1" applyFill="1" applyBorder="1" applyAlignment="1">
      <alignment horizontal="center"/>
    </xf>
    <xf numFmtId="0" fontId="33" fillId="4" borderId="3" xfId="0" applyFont="1" applyFill="1" applyBorder="1" applyAlignment="1">
      <alignment horizontal="center"/>
    </xf>
    <xf numFmtId="0" fontId="33" fillId="4" borderId="18" xfId="0" applyFont="1" applyFill="1" applyBorder="1" applyAlignment="1">
      <alignment horizontal="center"/>
    </xf>
    <xf numFmtId="0" fontId="33" fillId="4" borderId="73" xfId="0" applyFont="1" applyFill="1" applyBorder="1" applyAlignment="1">
      <alignment horizontal="center"/>
    </xf>
    <xf numFmtId="4" fontId="15" fillId="0" borderId="12" xfId="0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74" xfId="0" applyBorder="1" applyAlignment="1">
      <alignment horizontal="center"/>
    </xf>
    <xf numFmtId="4" fontId="15" fillId="0" borderId="74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73" xfId="0" applyBorder="1" applyAlignment="1">
      <alignment horizontal="right"/>
    </xf>
    <xf numFmtId="4" fontId="15" fillId="0" borderId="49" xfId="0" applyNumberFormat="1" applyFont="1" applyBorder="1" applyAlignment="1">
      <alignment horizontal="right"/>
    </xf>
    <xf numFmtId="4" fontId="15" fillId="0" borderId="68" xfId="0" applyNumberFormat="1" applyFont="1" applyBorder="1" applyAlignment="1">
      <alignment horizontal="right"/>
    </xf>
    <xf numFmtId="4" fontId="33" fillId="0" borderId="25" xfId="0" applyNumberFormat="1" applyFont="1" applyBorder="1" applyAlignment="1">
      <alignment horizontal="right"/>
    </xf>
    <xf numFmtId="4" fontId="33" fillId="0" borderId="26" xfId="0" applyNumberFormat="1" applyFont="1" applyBorder="1" applyAlignment="1">
      <alignment horizontal="right"/>
    </xf>
    <xf numFmtId="4" fontId="0" fillId="0" borderId="26" xfId="0" applyNumberFormat="1" applyBorder="1"/>
    <xf numFmtId="0" fontId="0" fillId="0" borderId="3" xfId="0" applyBorder="1"/>
    <xf numFmtId="0" fontId="0" fillId="0" borderId="26" xfId="0" applyBorder="1"/>
    <xf numFmtId="0" fontId="0" fillId="0" borderId="33" xfId="0" applyBorder="1"/>
    <xf numFmtId="0" fontId="14" fillId="4" borderId="43" xfId="0" applyFont="1" applyFill="1" applyBorder="1" applyAlignment="1">
      <alignment horizontal="center"/>
    </xf>
    <xf numFmtId="4" fontId="40" fillId="3" borderId="0" xfId="709" applyNumberFormat="1" applyFill="1"/>
    <xf numFmtId="0" fontId="24" fillId="3" borderId="0" xfId="0" applyFont="1" applyFill="1" applyAlignment="1">
      <alignment wrapText="1"/>
    </xf>
    <xf numFmtId="0" fontId="24" fillId="3" borderId="0" xfId="0" applyFont="1" applyFill="1"/>
    <xf numFmtId="0" fontId="11" fillId="4" borderId="53" xfId="0" applyFont="1" applyFill="1" applyBorder="1" applyAlignment="1">
      <alignment vertical="center"/>
    </xf>
    <xf numFmtId="0" fontId="19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vertical="center" wrapText="1"/>
    </xf>
    <xf numFmtId="0" fontId="14" fillId="4" borderId="16" xfId="0" applyFont="1" applyFill="1" applyBorder="1" applyAlignment="1">
      <alignment horizontal="center" wrapText="1"/>
    </xf>
    <xf numFmtId="0" fontId="14" fillId="4" borderId="42" xfId="0" applyFont="1" applyFill="1" applyBorder="1" applyAlignment="1">
      <alignment horizontal="center" wrapText="1"/>
    </xf>
    <xf numFmtId="0" fontId="14" fillId="4" borderId="51" xfId="0" applyFont="1" applyFill="1" applyBorder="1" applyAlignment="1">
      <alignment horizontal="center" vertical="center" wrapText="1"/>
    </xf>
    <xf numFmtId="10" fontId="14" fillId="4" borderId="52" xfId="0" applyNumberFormat="1" applyFont="1" applyFill="1" applyBorder="1" applyAlignment="1">
      <alignment vertical="center"/>
    </xf>
    <xf numFmtId="2" fontId="40" fillId="3" borderId="0" xfId="709" applyNumberFormat="1" applyFill="1"/>
    <xf numFmtId="4" fontId="15" fillId="3" borderId="0" xfId="0" applyNumberFormat="1" applyFont="1" applyFill="1"/>
    <xf numFmtId="0" fontId="14" fillId="4" borderId="23" xfId="0" applyFont="1" applyFill="1" applyBorder="1" applyAlignment="1">
      <alignment horizontal="center" wrapText="1"/>
    </xf>
    <xf numFmtId="10" fontId="14" fillId="3" borderId="0" xfId="0" applyNumberFormat="1" applyFont="1" applyFill="1" applyAlignment="1">
      <alignment vertical="center"/>
    </xf>
    <xf numFmtId="10" fontId="14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horizontal="center"/>
    </xf>
    <xf numFmtId="0" fontId="14" fillId="4" borderId="53" xfId="0" applyFont="1" applyFill="1" applyBorder="1" applyAlignment="1">
      <alignment vertical="center"/>
    </xf>
    <xf numFmtId="0" fontId="15" fillId="4" borderId="44" xfId="0" applyFont="1" applyFill="1" applyBorder="1" applyAlignment="1">
      <alignment horizontal="center"/>
    </xf>
    <xf numFmtId="0" fontId="39" fillId="0" borderId="0" xfId="709" applyFont="1" applyAlignment="1">
      <alignment wrapText="1"/>
    </xf>
    <xf numFmtId="0" fontId="15" fillId="4" borderId="1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vertical="center" wrapText="1" shrinkToFit="1"/>
    </xf>
    <xf numFmtId="4" fontId="15" fillId="0" borderId="62" xfId="0" applyNumberFormat="1" applyFont="1" applyBorder="1" applyAlignment="1">
      <alignment horizontal="center" vertical="center"/>
    </xf>
    <xf numFmtId="3" fontId="15" fillId="0" borderId="62" xfId="0" quotePrefix="1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33" fillId="0" borderId="62" xfId="0" applyNumberFormat="1" applyFont="1" applyBorder="1" applyAlignment="1">
      <alignment horizontal="center"/>
    </xf>
    <xf numFmtId="4" fontId="33" fillId="0" borderId="46" xfId="0" applyNumberFormat="1" applyFont="1" applyBorder="1" applyAlignment="1">
      <alignment horizontal="center"/>
    </xf>
    <xf numFmtId="4" fontId="33" fillId="0" borderId="43" xfId="0" applyNumberFormat="1" applyFont="1" applyBorder="1" applyAlignment="1">
      <alignment horizontal="center"/>
    </xf>
    <xf numFmtId="4" fontId="33" fillId="0" borderId="2" xfId="0" applyNumberFormat="1" applyFont="1" applyBorder="1" applyAlignment="1">
      <alignment horizontal="center"/>
    </xf>
    <xf numFmtId="4" fontId="33" fillId="0" borderId="24" xfId="0" applyNumberFormat="1" applyFont="1" applyBorder="1" applyAlignment="1">
      <alignment horizontal="center"/>
    </xf>
    <xf numFmtId="4" fontId="15" fillId="0" borderId="40" xfId="0" applyNumberFormat="1" applyFont="1" applyBorder="1" applyAlignment="1">
      <alignment horizontal="center"/>
    </xf>
    <xf numFmtId="0" fontId="34" fillId="6" borderId="41" xfId="0" applyFont="1" applyFill="1" applyBorder="1" applyAlignment="1">
      <alignment horizontal="center" vertical="center"/>
    </xf>
    <xf numFmtId="3" fontId="34" fillId="6" borderId="52" xfId="0" applyNumberFormat="1" applyFont="1" applyFill="1" applyBorder="1" applyAlignment="1">
      <alignment horizontal="center" vertical="center"/>
    </xf>
    <xf numFmtId="4" fontId="34" fillId="6" borderId="53" xfId="0" applyNumberFormat="1" applyFont="1" applyFill="1" applyBorder="1" applyAlignment="1">
      <alignment horizontal="center" vertical="center"/>
    </xf>
    <xf numFmtId="0" fontId="14" fillId="4" borderId="67" xfId="0" applyFont="1" applyFill="1" applyBorder="1" applyAlignment="1">
      <alignment horizontal="center" vertical="center"/>
    </xf>
    <xf numFmtId="3" fontId="14" fillId="4" borderId="41" xfId="0" applyNumberFormat="1" applyFont="1" applyFill="1" applyBorder="1" applyAlignment="1">
      <alignment horizontal="center" vertical="center"/>
    </xf>
    <xf numFmtId="4" fontId="14" fillId="4" borderId="41" xfId="0" applyNumberFormat="1" applyFont="1" applyFill="1" applyBorder="1" applyAlignment="1">
      <alignment horizontal="center" vertical="center"/>
    </xf>
    <xf numFmtId="0" fontId="48" fillId="4" borderId="62" xfId="709" applyFont="1" applyFill="1" applyBorder="1" applyAlignment="1">
      <alignment horizontal="center" vertical="top" wrapText="1"/>
    </xf>
    <xf numFmtId="0" fontId="48" fillId="4" borderId="2" xfId="709" applyFont="1" applyFill="1" applyBorder="1" applyAlignment="1">
      <alignment horizontal="center" vertical="top" wrapText="1"/>
    </xf>
    <xf numFmtId="0" fontId="48" fillId="4" borderId="45" xfId="709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4" fontId="12" fillId="4" borderId="9" xfId="0" applyNumberFormat="1" applyFont="1" applyFill="1" applyBorder="1" applyAlignment="1">
      <alignment horizontal="center"/>
    </xf>
    <xf numFmtId="14" fontId="12" fillId="4" borderId="11" xfId="0" applyNumberFormat="1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14" fontId="12" fillId="4" borderId="36" xfId="0" applyNumberFormat="1" applyFont="1" applyFill="1" applyBorder="1" applyAlignment="1">
      <alignment horizontal="center"/>
    </xf>
    <xf numFmtId="0" fontId="42" fillId="4" borderId="62" xfId="709" applyFont="1" applyFill="1" applyBorder="1" applyAlignment="1">
      <alignment horizontal="center" vertical="center" wrapText="1"/>
    </xf>
    <xf numFmtId="0" fontId="42" fillId="4" borderId="2" xfId="709" applyFont="1" applyFill="1" applyBorder="1" applyAlignment="1">
      <alignment horizontal="center" vertical="center" wrapText="1"/>
    </xf>
    <xf numFmtId="0" fontId="42" fillId="4" borderId="45" xfId="709" applyFont="1" applyFill="1" applyBorder="1" applyAlignment="1">
      <alignment horizontal="center" vertical="center" wrapText="1"/>
    </xf>
    <xf numFmtId="0" fontId="42" fillId="4" borderId="13" xfId="709" applyFont="1" applyFill="1" applyBorder="1" applyAlignment="1">
      <alignment horizontal="center" vertical="center" wrapText="1"/>
    </xf>
    <xf numFmtId="0" fontId="42" fillId="4" borderId="34" xfId="709" applyFont="1" applyFill="1" applyBorder="1" applyAlignment="1">
      <alignment horizontal="center" vertical="center" wrapText="1"/>
    </xf>
    <xf numFmtId="0" fontId="42" fillId="4" borderId="46" xfId="709" applyFont="1" applyFill="1" applyBorder="1" applyAlignment="1">
      <alignment horizontal="center" vertical="center" wrapText="1"/>
    </xf>
    <xf numFmtId="10" fontId="42" fillId="4" borderId="46" xfId="774" applyNumberFormat="1" applyFont="1" applyFill="1" applyBorder="1" applyAlignment="1">
      <alignment horizontal="center" vertical="center"/>
    </xf>
    <xf numFmtId="2" fontId="15" fillId="3" borderId="57" xfId="0" applyNumberFormat="1" applyFont="1" applyFill="1" applyBorder="1" applyAlignment="1">
      <alignment horizontal="center" vertical="center" wrapText="1"/>
    </xf>
    <xf numFmtId="4" fontId="39" fillId="3" borderId="46" xfId="709" applyNumberFormat="1" applyFont="1" applyFill="1" applyBorder="1" applyAlignment="1">
      <alignment horizontal="center" vertical="center"/>
    </xf>
    <xf numFmtId="4" fontId="39" fillId="3" borderId="50" xfId="709" applyNumberFormat="1" applyFont="1" applyFill="1" applyBorder="1" applyAlignment="1">
      <alignment horizontal="center" vertical="center"/>
    </xf>
    <xf numFmtId="4" fontId="39" fillId="3" borderId="49" xfId="709" applyNumberFormat="1" applyFont="1" applyFill="1" applyBorder="1" applyAlignment="1">
      <alignment horizontal="center" vertical="center"/>
    </xf>
    <xf numFmtId="0" fontId="39" fillId="4" borderId="49" xfId="709" applyFont="1" applyFill="1" applyBorder="1" applyAlignment="1">
      <alignment horizontal="center"/>
    </xf>
    <xf numFmtId="4" fontId="39" fillId="0" borderId="47" xfId="709" applyNumberFormat="1" applyFont="1" applyBorder="1" applyAlignment="1">
      <alignment horizontal="center"/>
    </xf>
    <xf numFmtId="0" fontId="39" fillId="4" borderId="50" xfId="709" applyFont="1" applyFill="1" applyBorder="1" applyAlignment="1">
      <alignment horizontal="center"/>
    </xf>
    <xf numFmtId="4" fontId="39" fillId="0" borderId="48" xfId="709" applyNumberFormat="1" applyFont="1" applyBorder="1" applyAlignment="1">
      <alignment horizontal="center"/>
    </xf>
    <xf numFmtId="4" fontId="39" fillId="3" borderId="43" xfId="709" applyNumberFormat="1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vertical="center"/>
    </xf>
    <xf numFmtId="0" fontId="11" fillId="4" borderId="52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4" fontId="40" fillId="0" borderId="50" xfId="0" applyNumberFormat="1" applyFont="1" applyBorder="1" applyAlignment="1">
      <alignment horizontal="center"/>
    </xf>
    <xf numFmtId="4" fontId="40" fillId="0" borderId="46" xfId="773" applyNumberFormat="1" applyFont="1" applyBorder="1" applyAlignment="1">
      <alignment horizontal="center" vertical="center" wrapText="1"/>
    </xf>
    <xf numFmtId="4" fontId="39" fillId="0" borderId="46" xfId="773" applyNumberFormat="1" applyFont="1" applyBorder="1" applyAlignment="1">
      <alignment horizontal="center" vertical="center" wrapText="1"/>
    </xf>
    <xf numFmtId="4" fontId="39" fillId="0" borderId="43" xfId="773" applyNumberFormat="1" applyFont="1" applyBorder="1" applyAlignment="1">
      <alignment horizontal="center" vertical="center" wrapText="1"/>
    </xf>
    <xf numFmtId="4" fontId="39" fillId="3" borderId="48" xfId="773" applyNumberFormat="1" applyFont="1" applyFill="1" applyBorder="1" applyAlignment="1">
      <alignment horizontal="center" wrapText="1"/>
    </xf>
    <xf numFmtId="4" fontId="39" fillId="3" borderId="50" xfId="773" applyNumberFormat="1" applyFont="1" applyFill="1" applyBorder="1" applyAlignment="1">
      <alignment horizontal="center" wrapText="1"/>
    </xf>
    <xf numFmtId="4" fontId="39" fillId="3" borderId="36" xfId="773" applyNumberFormat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55" fillId="4" borderId="23" xfId="709" applyFont="1" applyFill="1" applyBorder="1"/>
    <xf numFmtId="0" fontId="39" fillId="4" borderId="0" xfId="709" applyFont="1" applyFill="1"/>
    <xf numFmtId="2" fontId="13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7" fillId="2" borderId="58" xfId="0" applyFont="1" applyFill="1" applyBorder="1" applyAlignment="1">
      <alignment vertical="center" wrapText="1"/>
    </xf>
    <xf numFmtId="0" fontId="27" fillId="2" borderId="31" xfId="0" applyFont="1" applyFill="1" applyBorder="1" applyAlignment="1">
      <alignment vertical="center" wrapText="1"/>
    </xf>
    <xf numFmtId="0" fontId="55" fillId="4" borderId="52" xfId="709" applyFont="1" applyFill="1" applyBorder="1"/>
    <xf numFmtId="0" fontId="39" fillId="2" borderId="14" xfId="709" applyFont="1" applyFill="1" applyBorder="1"/>
    <xf numFmtId="0" fontId="39" fillId="2" borderId="47" xfId="709" applyFont="1" applyFill="1" applyBorder="1"/>
    <xf numFmtId="0" fontId="39" fillId="2" borderId="48" xfId="709" applyFont="1" applyFill="1" applyBorder="1"/>
    <xf numFmtId="0" fontId="39" fillId="4" borderId="47" xfId="709" applyFont="1" applyFill="1" applyBorder="1"/>
    <xf numFmtId="0" fontId="13" fillId="3" borderId="23" xfId="0" applyFont="1" applyFill="1" applyBorder="1" applyAlignment="1">
      <alignment horizontal="left"/>
    </xf>
    <xf numFmtId="0" fontId="13" fillId="3" borderId="23" xfId="0" applyFont="1" applyFill="1" applyBorder="1" applyAlignment="1">
      <alignment horizontal="center"/>
    </xf>
    <xf numFmtId="4" fontId="13" fillId="3" borderId="23" xfId="0" applyNumberFormat="1" applyFont="1" applyFill="1" applyBorder="1" applyAlignment="1">
      <alignment horizontal="center" vertical="center"/>
    </xf>
    <xf numFmtId="4" fontId="13" fillId="3" borderId="17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13" fillId="3" borderId="24" xfId="0" applyFont="1" applyFill="1" applyBorder="1"/>
    <xf numFmtId="0" fontId="13" fillId="3" borderId="22" xfId="0" applyFont="1" applyFill="1" applyBorder="1"/>
    <xf numFmtId="0" fontId="0" fillId="0" borderId="18" xfId="0" applyBorder="1"/>
    <xf numFmtId="0" fontId="12" fillId="3" borderId="23" xfId="0" applyFont="1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75" xfId="0" applyBorder="1" applyAlignment="1">
      <alignment horizontal="center"/>
    </xf>
    <xf numFmtId="0" fontId="13" fillId="3" borderId="0" xfId="0" applyFont="1" applyFill="1" applyAlignment="1">
      <alignment horizontal="left"/>
    </xf>
    <xf numFmtId="4" fontId="15" fillId="0" borderId="22" xfId="0" applyNumberFormat="1" applyFont="1" applyBorder="1" applyAlignment="1">
      <alignment horizontal="center"/>
    </xf>
    <xf numFmtId="0" fontId="48" fillId="0" borderId="0" xfId="709" applyFont="1" applyAlignment="1">
      <alignment horizontal="center"/>
    </xf>
    <xf numFmtId="0" fontId="61" fillId="2" borderId="63" xfId="0" applyFont="1" applyFill="1" applyBorder="1" applyAlignment="1">
      <alignment horizontal="center" vertical="center"/>
    </xf>
    <xf numFmtId="0" fontId="61" fillId="2" borderId="63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0" fontId="54" fillId="4" borderId="34" xfId="709" applyFont="1" applyFill="1" applyBorder="1" applyAlignment="1">
      <alignment horizontal="center" vertical="center" wrapText="1"/>
    </xf>
    <xf numFmtId="0" fontId="54" fillId="4" borderId="46" xfId="709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 wrapText="1" shrinkToFit="1"/>
    </xf>
    <xf numFmtId="0" fontId="15" fillId="4" borderId="15" xfId="0" applyFont="1" applyFill="1" applyBorder="1" applyAlignment="1">
      <alignment vertical="center" wrapText="1" shrinkToFit="1"/>
    </xf>
    <xf numFmtId="14" fontId="15" fillId="3" borderId="0" xfId="0" applyNumberFormat="1" applyFont="1" applyFill="1" applyAlignment="1">
      <alignment horizontal="left" vertical="top" wrapText="1"/>
    </xf>
    <xf numFmtId="4" fontId="15" fillId="0" borderId="45" xfId="0" applyNumberFormat="1" applyFont="1" applyBorder="1" applyAlignment="1">
      <alignment horizontal="center"/>
    </xf>
    <xf numFmtId="0" fontId="15" fillId="3" borderId="56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15" fillId="3" borderId="36" xfId="0" applyFont="1" applyFill="1" applyBorder="1" applyAlignment="1">
      <alignment horizontal="left"/>
    </xf>
    <xf numFmtId="0" fontId="15" fillId="4" borderId="22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53" fillId="3" borderId="23" xfId="0" applyFont="1" applyFill="1" applyBorder="1" applyAlignment="1">
      <alignment horizontal="left"/>
    </xf>
    <xf numFmtId="0" fontId="34" fillId="0" borderId="1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4" fontId="15" fillId="3" borderId="20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 wrapText="1"/>
    </xf>
    <xf numFmtId="0" fontId="4" fillId="0" borderId="20" xfId="0" applyFont="1" applyBorder="1"/>
    <xf numFmtId="3" fontId="15" fillId="0" borderId="26" xfId="0" applyNumberFormat="1" applyFont="1" applyBorder="1"/>
    <xf numFmtId="164" fontId="15" fillId="0" borderId="6" xfId="80" applyFont="1" applyBorder="1"/>
    <xf numFmtId="14" fontId="14" fillId="4" borderId="31" xfId="0" applyNumberFormat="1" applyFont="1" applyFill="1" applyBorder="1" applyAlignment="1">
      <alignment horizontal="center"/>
    </xf>
    <xf numFmtId="0" fontId="50" fillId="3" borderId="0" xfId="709" applyFont="1" applyFill="1" applyAlignment="1">
      <alignment horizontal="center" wrapText="1"/>
    </xf>
    <xf numFmtId="0" fontId="50" fillId="3" borderId="24" xfId="709" applyFont="1" applyFill="1" applyBorder="1" applyAlignment="1">
      <alignment horizontal="center" wrapText="1"/>
    </xf>
    <xf numFmtId="168" fontId="39" fillId="3" borderId="0" xfId="773" applyFont="1" applyFill="1"/>
    <xf numFmtId="14" fontId="12" fillId="4" borderId="64" xfId="0" applyNumberFormat="1" applyFont="1" applyFill="1" applyBorder="1" applyAlignment="1">
      <alignment horizontal="center"/>
    </xf>
    <xf numFmtId="0" fontId="12" fillId="4" borderId="58" xfId="0" applyFont="1" applyFill="1" applyBorder="1" applyAlignment="1">
      <alignment horizontal="center"/>
    </xf>
    <xf numFmtId="0" fontId="12" fillId="4" borderId="59" xfId="0" applyFont="1" applyFill="1" applyBorder="1" applyAlignment="1">
      <alignment horizontal="center"/>
    </xf>
    <xf numFmtId="14" fontId="12" fillId="4" borderId="31" xfId="0" applyNumberFormat="1" applyFont="1" applyFill="1" applyBorder="1" applyAlignment="1">
      <alignment horizontal="center"/>
    </xf>
    <xf numFmtId="14" fontId="12" fillId="4" borderId="55" xfId="0" applyNumberFormat="1" applyFont="1" applyFill="1" applyBorder="1" applyAlignment="1">
      <alignment horizontal="center"/>
    </xf>
    <xf numFmtId="0" fontId="15" fillId="4" borderId="24" xfId="0" applyFont="1" applyFill="1" applyBorder="1" applyAlignment="1">
      <alignment vertical="center" wrapText="1" shrinkToFit="1"/>
    </xf>
    <xf numFmtId="0" fontId="15" fillId="4" borderId="22" xfId="0" applyFont="1" applyFill="1" applyBorder="1" applyAlignment="1">
      <alignment vertical="center" wrapText="1" shrinkToFit="1"/>
    </xf>
    <xf numFmtId="0" fontId="4" fillId="0" borderId="0" xfId="0" applyFont="1" applyAlignment="1">
      <alignment horizontal="center"/>
    </xf>
    <xf numFmtId="0" fontId="63" fillId="0" borderId="0" xfId="709" applyFont="1"/>
    <xf numFmtId="4" fontId="17" fillId="0" borderId="50" xfId="0" applyNumberFormat="1" applyFont="1" applyBorder="1" applyAlignment="1">
      <alignment horizontal="center"/>
    </xf>
    <xf numFmtId="4" fontId="17" fillId="0" borderId="49" xfId="0" applyNumberFormat="1" applyFont="1" applyBorder="1" applyAlignment="1">
      <alignment horizontal="center"/>
    </xf>
    <xf numFmtId="14" fontId="18" fillId="4" borderId="43" xfId="0" applyNumberFormat="1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vertical="center" wrapText="1"/>
    </xf>
    <xf numFmtId="0" fontId="15" fillId="4" borderId="55" xfId="0" applyFont="1" applyFill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40" fillId="0" borderId="0" xfId="0" applyNumberFormat="1" applyFont="1" applyAlignment="1">
      <alignment horizontal="center"/>
    </xf>
    <xf numFmtId="4" fontId="40" fillId="0" borderId="62" xfId="0" applyNumberFormat="1" applyFont="1" applyBorder="1" applyAlignment="1">
      <alignment horizontal="center" vertical="center" wrapText="1"/>
    </xf>
    <xf numFmtId="4" fontId="40" fillId="0" borderId="49" xfId="0" applyNumberFormat="1" applyFont="1" applyBorder="1" applyAlignment="1">
      <alignment horizontal="center" vertical="center" wrapText="1"/>
    </xf>
    <xf numFmtId="4" fontId="40" fillId="0" borderId="50" xfId="0" applyNumberFormat="1" applyFont="1" applyBorder="1" applyAlignment="1">
      <alignment horizontal="center" vertical="center" wrapText="1"/>
    </xf>
    <xf numFmtId="0" fontId="64" fillId="0" borderId="46" xfId="709" applyFont="1" applyBorder="1" applyAlignment="1">
      <alignment horizontal="center" vertical="top" wrapText="1"/>
    </xf>
    <xf numFmtId="168" fontId="63" fillId="0" borderId="46" xfId="773" applyFont="1" applyBorder="1" applyAlignment="1">
      <alignment horizontal="center" wrapText="1"/>
    </xf>
    <xf numFmtId="168" fontId="63" fillId="0" borderId="49" xfId="773" applyFont="1" applyBorder="1" applyAlignment="1">
      <alignment horizontal="center" wrapText="1"/>
    </xf>
    <xf numFmtId="168" fontId="63" fillId="0" borderId="62" xfId="773" applyFont="1" applyBorder="1" applyAlignment="1">
      <alignment horizontal="center" wrapText="1"/>
    </xf>
    <xf numFmtId="168" fontId="63" fillId="0" borderId="27" xfId="773" applyFont="1" applyBorder="1" applyAlignment="1">
      <alignment horizontal="center" wrapText="1"/>
    </xf>
    <xf numFmtId="0" fontId="63" fillId="0" borderId="50" xfId="709" applyFont="1" applyBorder="1" applyAlignment="1">
      <alignment horizontal="center"/>
    </xf>
    <xf numFmtId="14" fontId="18" fillId="4" borderId="22" xfId="0" applyNumberFormat="1" applyFont="1" applyFill="1" applyBorder="1" applyAlignment="1">
      <alignment horizontal="center"/>
    </xf>
    <xf numFmtId="2" fontId="17" fillId="0" borderId="36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0" fontId="67" fillId="9" borderId="4" xfId="709" applyFont="1" applyFill="1" applyBorder="1" applyAlignment="1">
      <alignment horizontal="center" vertical="top" wrapText="1"/>
    </xf>
    <xf numFmtId="0" fontId="67" fillId="9" borderId="26" xfId="709" applyFont="1" applyFill="1" applyBorder="1" applyAlignment="1">
      <alignment horizontal="center" vertical="top" wrapText="1"/>
    </xf>
    <xf numFmtId="0" fontId="67" fillId="9" borderId="15" xfId="709" applyFont="1" applyFill="1" applyBorder="1" applyAlignment="1">
      <alignment horizontal="center" vertical="top" wrapText="1"/>
    </xf>
    <xf numFmtId="168" fontId="63" fillId="0" borderId="4" xfId="773" applyFont="1" applyBorder="1" applyAlignment="1">
      <alignment horizontal="justify" wrapText="1"/>
    </xf>
    <xf numFmtId="168" fontId="63" fillId="0" borderId="26" xfId="773" applyFont="1" applyBorder="1" applyAlignment="1">
      <alignment horizontal="justify" wrapText="1"/>
    </xf>
    <xf numFmtId="168" fontId="63" fillId="0" borderId="15" xfId="773" applyFont="1" applyBorder="1" applyAlignment="1">
      <alignment horizontal="justify" wrapText="1"/>
    </xf>
    <xf numFmtId="168" fontId="63" fillId="0" borderId="31" xfId="773" applyFont="1" applyBorder="1" applyAlignment="1">
      <alignment horizontal="justify" wrapText="1"/>
    </xf>
    <xf numFmtId="168" fontId="63" fillId="0" borderId="32" xfId="773" applyFont="1" applyBorder="1" applyAlignment="1">
      <alignment horizontal="justify" wrapText="1"/>
    </xf>
    <xf numFmtId="168" fontId="63" fillId="0" borderId="22" xfId="773" applyFont="1" applyBorder="1" applyAlignment="1">
      <alignment horizontal="justify" wrapText="1"/>
    </xf>
    <xf numFmtId="0" fontId="63" fillId="0" borderId="0" xfId="709" applyFont="1" applyAlignment="1">
      <alignment horizontal="center"/>
    </xf>
    <xf numFmtId="168" fontId="63" fillId="0" borderId="0" xfId="773" applyFont="1" applyBorder="1" applyAlignment="1">
      <alignment horizontal="justify" wrapText="1"/>
    </xf>
    <xf numFmtId="0" fontId="66" fillId="0" borderId="0" xfId="709" applyFont="1"/>
    <xf numFmtId="0" fontId="4" fillId="0" borderId="19" xfId="0" applyFont="1" applyBorder="1" applyAlignment="1">
      <alignment horizontal="center"/>
    </xf>
    <xf numFmtId="0" fontId="15" fillId="3" borderId="27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8" fillId="0" borderId="0" xfId="0" applyFont="1"/>
    <xf numFmtId="14" fontId="25" fillId="3" borderId="0" xfId="0" applyNumberFormat="1" applyFont="1" applyFill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wrapText="1"/>
    </xf>
    <xf numFmtId="0" fontId="12" fillId="4" borderId="59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wrapText="1"/>
    </xf>
    <xf numFmtId="0" fontId="12" fillId="4" borderId="60" xfId="0" applyFont="1" applyFill="1" applyBorder="1" applyAlignment="1">
      <alignment horizontal="center" wrapText="1"/>
    </xf>
    <xf numFmtId="0" fontId="14" fillId="4" borderId="64" xfId="0" applyFont="1" applyFill="1" applyBorder="1" applyAlignment="1">
      <alignment horizontal="center" wrapText="1"/>
    </xf>
    <xf numFmtId="49" fontId="0" fillId="0" borderId="0" xfId="0" applyNumberFormat="1"/>
    <xf numFmtId="49" fontId="14" fillId="4" borderId="55" xfId="0" applyNumberFormat="1" applyFont="1" applyFill="1" applyBorder="1" applyAlignment="1">
      <alignment horizontal="center"/>
    </xf>
    <xf numFmtId="4" fontId="40" fillId="0" borderId="49" xfId="709" applyNumberFormat="1" applyBorder="1" applyAlignment="1">
      <alignment horizontal="center" vertical="center" wrapText="1"/>
    </xf>
    <xf numFmtId="4" fontId="40" fillId="0" borderId="49" xfId="773" applyNumberFormat="1" applyFont="1" applyBorder="1" applyAlignment="1">
      <alignment horizontal="center" vertical="center" wrapText="1"/>
    </xf>
    <xf numFmtId="4" fontId="40" fillId="0" borderId="50" xfId="773" applyNumberFormat="1" applyFont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wrapText="1"/>
    </xf>
    <xf numFmtId="14" fontId="14" fillId="4" borderId="21" xfId="0" applyNumberFormat="1" applyFont="1" applyFill="1" applyBorder="1" applyAlignment="1">
      <alignment vertical="center" wrapText="1"/>
    </xf>
    <xf numFmtId="14" fontId="14" fillId="4" borderId="22" xfId="0" applyNumberFormat="1" applyFont="1" applyFill="1" applyBorder="1" applyAlignment="1">
      <alignment vertical="center" wrapText="1"/>
    </xf>
    <xf numFmtId="0" fontId="14" fillId="4" borderId="41" xfId="0" applyFont="1" applyFill="1" applyBorder="1" applyAlignment="1">
      <alignment horizontal="center" wrapText="1"/>
    </xf>
    <xf numFmtId="3" fontId="15" fillId="0" borderId="49" xfId="0" quotePrefix="1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4" fontId="15" fillId="0" borderId="49" xfId="0" applyNumberFormat="1" applyFont="1" applyBorder="1" applyAlignment="1">
      <alignment horizontal="center" vertical="center"/>
    </xf>
    <xf numFmtId="4" fontId="15" fillId="0" borderId="50" xfId="0" applyNumberFormat="1" applyFont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wrapText="1"/>
    </xf>
    <xf numFmtId="0" fontId="4" fillId="3" borderId="0" xfId="0" applyFont="1" applyFill="1" applyProtection="1">
      <protection locked="0"/>
    </xf>
    <xf numFmtId="0" fontId="15" fillId="3" borderId="0" xfId="0" applyFont="1" applyFill="1" applyAlignment="1" applyProtection="1">
      <alignment horizontal="left"/>
      <protection locked="0"/>
    </xf>
    <xf numFmtId="14" fontId="15" fillId="3" borderId="0" xfId="0" applyNumberFormat="1" applyFont="1" applyFill="1" applyProtection="1">
      <protection locked="0"/>
    </xf>
    <xf numFmtId="0" fontId="64" fillId="0" borderId="62" xfId="709" applyFont="1" applyBorder="1" applyAlignment="1">
      <alignment horizontal="center" wrapText="1"/>
    </xf>
    <xf numFmtId="0" fontId="43" fillId="0" borderId="0" xfId="709" applyFont="1" applyProtection="1">
      <protection locked="0"/>
    </xf>
    <xf numFmtId="0" fontId="14" fillId="4" borderId="1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7" fillId="4" borderId="47" xfId="0" applyFont="1" applyFill="1" applyBorder="1" applyAlignment="1">
      <alignment horizontal="left" wrapText="1" shrinkToFit="1"/>
    </xf>
    <xf numFmtId="0" fontId="18" fillId="3" borderId="23" xfId="0" applyFont="1" applyFill="1" applyBorder="1" applyAlignment="1">
      <alignment horizontal="center" vertical="center"/>
    </xf>
    <xf numFmtId="0" fontId="63" fillId="4" borderId="47" xfId="709" applyFont="1" applyFill="1" applyBorder="1"/>
    <xf numFmtId="0" fontId="63" fillId="4" borderId="48" xfId="709" applyFont="1" applyFill="1" applyBorder="1"/>
    <xf numFmtId="0" fontId="17" fillId="4" borderId="21" xfId="0" applyFont="1" applyFill="1" applyBorder="1" applyAlignment="1">
      <alignment vertical="center" wrapText="1" shrinkToFit="1"/>
    </xf>
    <xf numFmtId="0" fontId="17" fillId="4" borderId="24" xfId="0" applyFont="1" applyFill="1" applyBorder="1" applyAlignment="1">
      <alignment vertical="center" wrapText="1" shrinkToFit="1"/>
    </xf>
    <xf numFmtId="0" fontId="17" fillId="4" borderId="16" xfId="0" applyFont="1" applyFill="1" applyBorder="1" applyAlignment="1">
      <alignment vertical="center" wrapText="1" shrinkToFit="1"/>
    </xf>
    <xf numFmtId="0" fontId="17" fillId="4" borderId="23" xfId="0" applyFont="1" applyFill="1" applyBorder="1" applyAlignment="1">
      <alignment vertical="center" wrapText="1" shrinkToFit="1"/>
    </xf>
    <xf numFmtId="0" fontId="18" fillId="4" borderId="20" xfId="0" applyFont="1" applyFill="1" applyBorder="1" applyAlignment="1">
      <alignment horizontal="center"/>
    </xf>
    <xf numFmtId="0" fontId="18" fillId="4" borderId="42" xfId="0" applyFont="1" applyFill="1" applyBorder="1" applyAlignment="1">
      <alignment horizontal="center"/>
    </xf>
    <xf numFmtId="4" fontId="17" fillId="3" borderId="43" xfId="0" applyNumberFormat="1" applyFont="1" applyFill="1" applyBorder="1" applyAlignment="1">
      <alignment horizontal="center" vertical="center"/>
    </xf>
    <xf numFmtId="0" fontId="37" fillId="3" borderId="0" xfId="709" applyFont="1" applyFill="1"/>
    <xf numFmtId="10" fontId="54" fillId="4" borderId="62" xfId="774" applyNumberFormat="1" applyFont="1" applyFill="1" applyBorder="1" applyAlignment="1">
      <alignment horizontal="center" vertical="center"/>
    </xf>
    <xf numFmtId="168" fontId="63" fillId="0" borderId="43" xfId="773" applyFont="1" applyBorder="1" applyAlignment="1">
      <alignment horizontal="center" vertical="center" wrapText="1"/>
    </xf>
    <xf numFmtId="10" fontId="68" fillId="4" borderId="55" xfId="774" applyNumberFormat="1" applyFont="1" applyFill="1" applyBorder="1" applyAlignment="1">
      <alignment horizontal="center" vertical="center" wrapText="1"/>
    </xf>
    <xf numFmtId="0" fontId="54" fillId="4" borderId="62" xfId="709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52" xfId="0" applyBorder="1" applyAlignment="1">
      <alignment horizontal="center" vertical="top" wrapText="1"/>
    </xf>
    <xf numFmtId="0" fontId="0" fillId="0" borderId="52" xfId="0" applyBorder="1" applyAlignment="1">
      <alignment horizontal="center"/>
    </xf>
    <xf numFmtId="10" fontId="14" fillId="4" borderId="23" xfId="0" applyNumberFormat="1" applyFont="1" applyFill="1" applyBorder="1" applyAlignment="1">
      <alignment horizontal="left" vertical="center"/>
    </xf>
    <xf numFmtId="10" fontId="14" fillId="4" borderId="17" xfId="0" applyNumberFormat="1" applyFont="1" applyFill="1" applyBorder="1" applyAlignment="1">
      <alignment vertical="center"/>
    </xf>
    <xf numFmtId="0" fontId="2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76" xfId="0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8" xfId="0" applyFont="1" applyBorder="1"/>
    <xf numFmtId="164" fontId="40" fillId="0" borderId="44" xfId="80" applyFont="1" applyBorder="1" applyAlignment="1">
      <alignment vertical="center" wrapText="1"/>
    </xf>
    <xf numFmtId="3" fontId="15" fillId="3" borderId="5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14" fontId="15" fillId="4" borderId="44" xfId="0" applyNumberFormat="1" applyFont="1" applyFill="1" applyBorder="1" applyAlignment="1">
      <alignment horizontal="center"/>
    </xf>
    <xf numFmtId="14" fontId="15" fillId="4" borderId="56" xfId="0" applyNumberFormat="1" applyFont="1" applyFill="1" applyBorder="1" applyAlignment="1">
      <alignment horizontal="center"/>
    </xf>
    <xf numFmtId="14" fontId="15" fillId="4" borderId="49" xfId="0" applyNumberFormat="1" applyFont="1" applyFill="1" applyBorder="1" applyAlignment="1">
      <alignment horizontal="center"/>
    </xf>
    <xf numFmtId="14" fontId="15" fillId="4" borderId="50" xfId="0" applyNumberFormat="1" applyFont="1" applyFill="1" applyBorder="1" applyAlignment="1">
      <alignment horizontal="center"/>
    </xf>
    <xf numFmtId="14" fontId="14" fillId="4" borderId="43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70" fillId="3" borderId="0" xfId="0" applyFont="1" applyFill="1"/>
    <xf numFmtId="0" fontId="17" fillId="4" borderId="22" xfId="0" applyFont="1" applyFill="1" applyBorder="1" applyAlignment="1">
      <alignment horizontal="center" vertical="center"/>
    </xf>
    <xf numFmtId="4" fontId="40" fillId="0" borderId="68" xfId="773" applyNumberFormat="1" applyFont="1" applyBorder="1" applyAlignment="1">
      <alignment horizontal="center" vertical="center" wrapText="1"/>
    </xf>
    <xf numFmtId="164" fontId="40" fillId="0" borderId="1" xfId="80" applyFont="1" applyBorder="1" applyAlignment="1">
      <alignment vertical="center" wrapText="1"/>
    </xf>
    <xf numFmtId="4" fontId="40" fillId="0" borderId="1" xfId="773" applyNumberFormat="1" applyFont="1" applyBorder="1" applyAlignment="1">
      <alignment horizontal="center" vertical="center" wrapText="1"/>
    </xf>
    <xf numFmtId="4" fontId="40" fillId="0" borderId="10" xfId="773" applyNumberFormat="1" applyFont="1" applyBorder="1" applyAlignment="1">
      <alignment horizontal="center" vertical="center" wrapText="1"/>
    </xf>
    <xf numFmtId="164" fontId="40" fillId="0" borderId="10" xfId="80" applyFont="1" applyBorder="1" applyAlignment="1">
      <alignment vertical="center" wrapText="1"/>
    </xf>
    <xf numFmtId="0" fontId="40" fillId="4" borderId="44" xfId="709" applyFill="1" applyBorder="1" applyAlignment="1">
      <alignment horizontal="center" vertical="center" wrapText="1"/>
    </xf>
    <xf numFmtId="4" fontId="40" fillId="0" borderId="7" xfId="773" applyNumberFormat="1" applyFont="1" applyBorder="1" applyAlignment="1">
      <alignment horizontal="center" vertical="center" wrapText="1"/>
    </xf>
    <xf numFmtId="4" fontId="40" fillId="0" borderId="8" xfId="773" applyNumberFormat="1" applyFont="1" applyBorder="1" applyAlignment="1">
      <alignment horizontal="center" vertical="center" wrapText="1"/>
    </xf>
    <xf numFmtId="4" fontId="40" fillId="0" borderId="9" xfId="773" applyNumberFormat="1" applyFont="1" applyBorder="1" applyAlignment="1">
      <alignment horizontal="center" vertical="center" wrapText="1"/>
    </xf>
    <xf numFmtId="4" fontId="40" fillId="3" borderId="9" xfId="773" applyNumberFormat="1" applyFont="1" applyFill="1" applyBorder="1" applyAlignment="1">
      <alignment horizontal="center" vertical="center" wrapText="1"/>
    </xf>
    <xf numFmtId="4" fontId="40" fillId="3" borderId="10" xfId="773" applyNumberFormat="1" applyFont="1" applyFill="1" applyBorder="1" applyAlignment="1">
      <alignment horizontal="center" vertical="center" wrapText="1"/>
    </xf>
    <xf numFmtId="4" fontId="40" fillId="3" borderId="11" xfId="773" applyNumberFormat="1" applyFont="1" applyFill="1" applyBorder="1" applyAlignment="1">
      <alignment horizontal="center" vertical="center" wrapText="1"/>
    </xf>
    <xf numFmtId="164" fontId="40" fillId="3" borderId="10" xfId="80" applyFont="1" applyFill="1" applyBorder="1" applyAlignment="1">
      <alignment vertical="center" wrapText="1"/>
    </xf>
    <xf numFmtId="4" fontId="40" fillId="3" borderId="0" xfId="773" applyNumberFormat="1" applyFont="1" applyFill="1" applyBorder="1" applyAlignment="1">
      <alignment horizontal="center" vertical="center" wrapText="1"/>
    </xf>
    <xf numFmtId="164" fontId="40" fillId="3" borderId="0" xfId="80" applyFont="1" applyFill="1" applyBorder="1" applyAlignment="1">
      <alignment vertical="center" wrapText="1"/>
    </xf>
    <xf numFmtId="0" fontId="40" fillId="4" borderId="56" xfId="709" applyFill="1" applyBorder="1" applyAlignment="1">
      <alignment horizontal="center" vertical="center" wrapText="1"/>
    </xf>
    <xf numFmtId="164" fontId="40" fillId="3" borderId="20" xfId="80" applyFont="1" applyFill="1" applyBorder="1" applyAlignment="1">
      <alignment vertical="center" wrapText="1"/>
    </xf>
    <xf numFmtId="4" fontId="40" fillId="0" borderId="3" xfId="773" applyNumberFormat="1" applyFont="1" applyBorder="1" applyAlignment="1">
      <alignment horizontal="center" vertical="center" wrapText="1"/>
    </xf>
    <xf numFmtId="4" fontId="40" fillId="3" borderId="18" xfId="773" applyNumberFormat="1" applyFont="1" applyFill="1" applyBorder="1" applyAlignment="1">
      <alignment horizontal="center" vertical="center" wrapText="1"/>
    </xf>
    <xf numFmtId="0" fontId="40" fillId="4" borderId="49" xfId="709" applyFill="1" applyBorder="1" applyAlignment="1">
      <alignment horizontal="center" vertical="center" wrapText="1"/>
    </xf>
    <xf numFmtId="4" fontId="40" fillId="0" borderId="33" xfId="709" applyNumberFormat="1" applyBorder="1" applyAlignment="1">
      <alignment horizontal="center" vertical="center" wrapText="1"/>
    </xf>
    <xf numFmtId="4" fontId="40" fillId="0" borderId="39" xfId="709" applyNumberFormat="1" applyBorder="1" applyAlignment="1">
      <alignment horizontal="center" vertical="center" wrapText="1"/>
    </xf>
    <xf numFmtId="4" fontId="40" fillId="0" borderId="37" xfId="709" applyNumberFormat="1" applyBorder="1" applyAlignment="1">
      <alignment horizontal="center" vertical="center" wrapText="1"/>
    </xf>
    <xf numFmtId="0" fontId="42" fillId="4" borderId="41" xfId="709" applyFont="1" applyFill="1" applyBorder="1" applyAlignment="1">
      <alignment horizontal="center" vertical="center" wrapText="1"/>
    </xf>
    <xf numFmtId="0" fontId="42" fillId="4" borderId="61" xfId="709" applyFont="1" applyFill="1" applyBorder="1" applyAlignment="1">
      <alignment horizontal="center" vertical="center" wrapText="1"/>
    </xf>
    <xf numFmtId="0" fontId="42" fillId="4" borderId="66" xfId="709" applyFont="1" applyFill="1" applyBorder="1" applyAlignment="1">
      <alignment horizontal="center" vertical="center" wrapText="1"/>
    </xf>
    <xf numFmtId="0" fontId="42" fillId="4" borderId="57" xfId="709" applyFont="1" applyFill="1" applyBorder="1" applyAlignment="1">
      <alignment horizontal="center" vertical="center" wrapText="1"/>
    </xf>
    <xf numFmtId="164" fontId="40" fillId="0" borderId="37" xfId="80" applyFont="1" applyBorder="1" applyAlignment="1">
      <alignment vertical="center" wrapText="1"/>
    </xf>
    <xf numFmtId="0" fontId="42" fillId="4" borderId="65" xfId="709" applyFont="1" applyFill="1" applyBorder="1" applyAlignment="1">
      <alignment horizontal="center" vertical="center" wrapText="1"/>
    </xf>
    <xf numFmtId="10" fontId="42" fillId="4" borderId="57" xfId="774" applyNumberFormat="1" applyFont="1" applyFill="1" applyBorder="1" applyAlignment="1">
      <alignment horizontal="center" vertical="center"/>
    </xf>
    <xf numFmtId="4" fontId="40" fillId="3" borderId="52" xfId="773" applyNumberFormat="1" applyFont="1" applyFill="1" applyBorder="1" applyAlignment="1">
      <alignment horizontal="center" vertical="center" wrapText="1"/>
    </xf>
    <xf numFmtId="0" fontId="40" fillId="4" borderId="34" xfId="709" applyFill="1" applyBorder="1" applyAlignment="1">
      <alignment horizontal="center" vertical="center" wrapText="1"/>
    </xf>
    <xf numFmtId="4" fontId="40" fillId="0" borderId="38" xfId="709" applyNumberFormat="1" applyBorder="1" applyAlignment="1">
      <alignment horizontal="center" vertical="center" wrapText="1"/>
    </xf>
    <xf numFmtId="0" fontId="42" fillId="4" borderId="67" xfId="709" applyFont="1" applyFill="1" applyBorder="1" applyAlignment="1">
      <alignment horizontal="center" vertical="center" wrapText="1"/>
    </xf>
    <xf numFmtId="4" fontId="40" fillId="0" borderId="40" xfId="709" applyNumberFormat="1" applyBorder="1" applyAlignment="1">
      <alignment horizontal="center" vertical="center" wrapText="1"/>
    </xf>
    <xf numFmtId="4" fontId="40" fillId="0" borderId="27" xfId="709" applyNumberFormat="1" applyBorder="1" applyAlignment="1">
      <alignment horizontal="center" vertical="center" wrapText="1"/>
    </xf>
    <xf numFmtId="4" fontId="40" fillId="0" borderId="27" xfId="773" applyNumberFormat="1" applyFont="1" applyBorder="1" applyAlignment="1">
      <alignment horizontal="center" vertical="center" wrapText="1"/>
    </xf>
    <xf numFmtId="4" fontId="40" fillId="3" borderId="36" xfId="773" applyNumberFormat="1" applyFont="1" applyFill="1" applyBorder="1" applyAlignment="1">
      <alignment horizontal="center" vertical="center" wrapText="1"/>
    </xf>
    <xf numFmtId="0" fontId="42" fillId="4" borderId="63" xfId="709" applyFont="1" applyFill="1" applyBorder="1" applyAlignment="1">
      <alignment horizontal="center" vertical="center" wrapText="1"/>
    </xf>
    <xf numFmtId="0" fontId="42" fillId="4" borderId="71" xfId="709" applyFont="1" applyFill="1" applyBorder="1" applyAlignment="1">
      <alignment horizontal="center" vertical="center" wrapText="1"/>
    </xf>
    <xf numFmtId="4" fontId="40" fillId="0" borderId="4" xfId="709" applyNumberFormat="1" applyBorder="1" applyAlignment="1">
      <alignment horizontal="center" vertical="center" wrapText="1"/>
    </xf>
    <xf numFmtId="4" fontId="40" fillId="0" borderId="5" xfId="709" applyNumberFormat="1" applyBorder="1" applyAlignment="1">
      <alignment horizontal="center" vertical="center" wrapText="1"/>
    </xf>
    <xf numFmtId="4" fontId="40" fillId="0" borderId="6" xfId="709" applyNumberFormat="1" applyBorder="1" applyAlignment="1">
      <alignment horizontal="center" vertical="center" wrapText="1"/>
    </xf>
    <xf numFmtId="0" fontId="42" fillId="4" borderId="72" xfId="709" applyFont="1" applyFill="1" applyBorder="1" applyAlignment="1">
      <alignment horizontal="center" vertical="center" wrapText="1"/>
    </xf>
    <xf numFmtId="4" fontId="40" fillId="0" borderId="12" xfId="773" applyNumberFormat="1" applyFont="1" applyBorder="1" applyAlignment="1">
      <alignment horizontal="center" vertical="center" wrapText="1"/>
    </xf>
    <xf numFmtId="4" fontId="40" fillId="0" borderId="46" xfId="709" applyNumberFormat="1" applyBorder="1" applyAlignment="1">
      <alignment horizontal="center" vertical="center" wrapText="1"/>
    </xf>
    <xf numFmtId="0" fontId="42" fillId="4" borderId="53" xfId="709" applyFont="1" applyFill="1" applyBorder="1" applyAlignment="1">
      <alignment horizontal="center" vertical="center" wrapText="1"/>
    </xf>
    <xf numFmtId="10" fontId="42" fillId="4" borderId="41" xfId="774" applyNumberFormat="1" applyFont="1" applyFill="1" applyBorder="1" applyAlignment="1">
      <alignment horizontal="center" vertical="center"/>
    </xf>
    <xf numFmtId="4" fontId="40" fillId="0" borderId="18" xfId="773" applyNumberFormat="1" applyFont="1" applyBorder="1" applyAlignment="1">
      <alignment horizontal="center" vertical="center" wrapText="1"/>
    </xf>
    <xf numFmtId="4" fontId="40" fillId="0" borderId="35" xfId="773" applyNumberFormat="1" applyFont="1" applyBorder="1" applyAlignment="1">
      <alignment horizontal="center" vertical="center" wrapText="1"/>
    </xf>
    <xf numFmtId="0" fontId="63" fillId="3" borderId="0" xfId="709" applyFont="1" applyFill="1"/>
    <xf numFmtId="0" fontId="40" fillId="4" borderId="68" xfId="709" applyFill="1" applyBorder="1" applyAlignment="1">
      <alignment horizontal="center" vertical="center" wrapText="1"/>
    </xf>
    <xf numFmtId="4" fontId="40" fillId="0" borderId="73" xfId="773" applyNumberFormat="1" applyFont="1" applyBorder="1" applyAlignment="1">
      <alignment horizontal="center" vertical="center" wrapText="1"/>
    </xf>
    <xf numFmtId="4" fontId="40" fillId="0" borderId="45" xfId="709" applyNumberFormat="1" applyBorder="1" applyAlignment="1">
      <alignment horizontal="center" vertical="center" wrapText="1"/>
    </xf>
    <xf numFmtId="4" fontId="40" fillId="0" borderId="79" xfId="773" applyNumberFormat="1" applyFont="1" applyBorder="1" applyAlignment="1">
      <alignment horizontal="center" vertical="center" wrapText="1"/>
    </xf>
    <xf numFmtId="4" fontId="40" fillId="0" borderId="30" xfId="773" applyNumberFormat="1" applyFont="1" applyBorder="1" applyAlignment="1">
      <alignment horizontal="center" vertical="center" wrapText="1"/>
    </xf>
    <xf numFmtId="4" fontId="40" fillId="0" borderId="36" xfId="773" applyNumberFormat="1" applyFont="1" applyBorder="1" applyAlignment="1">
      <alignment horizontal="center" vertical="center" wrapText="1"/>
    </xf>
    <xf numFmtId="4" fontId="40" fillId="0" borderId="62" xfId="709" applyNumberFormat="1" applyBorder="1" applyAlignment="1">
      <alignment horizontal="center" vertical="center" wrapText="1"/>
    </xf>
    <xf numFmtId="0" fontId="17" fillId="4" borderId="16" xfId="0" applyFont="1" applyFill="1" applyBorder="1" applyAlignment="1">
      <alignment vertical="center"/>
    </xf>
    <xf numFmtId="0" fontId="17" fillId="4" borderId="23" xfId="0" applyFont="1" applyFill="1" applyBorder="1" applyAlignment="1">
      <alignment vertical="center"/>
    </xf>
    <xf numFmtId="0" fontId="17" fillId="4" borderId="21" xfId="0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0" fontId="17" fillId="4" borderId="17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40" fillId="3" borderId="0" xfId="709" applyFill="1" applyAlignment="1">
      <alignment horizontal="center" vertical="top" wrapText="1"/>
    </xf>
    <xf numFmtId="0" fontId="40" fillId="3" borderId="0" xfId="709" applyFill="1" applyAlignment="1">
      <alignment horizontal="center" vertical="center" wrapText="1"/>
    </xf>
    <xf numFmtId="2" fontId="17" fillId="3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0" fontId="13" fillId="4" borderId="51" xfId="0" applyFont="1" applyFill="1" applyBorder="1" applyAlignment="1">
      <alignment vertical="center"/>
    </xf>
    <xf numFmtId="0" fontId="13" fillId="4" borderId="52" xfId="0" applyFont="1" applyFill="1" applyBorder="1" applyAlignment="1">
      <alignment vertical="center"/>
    </xf>
    <xf numFmtId="0" fontId="13" fillId="4" borderId="53" xfId="0" applyFont="1" applyFill="1" applyBorder="1" applyAlignment="1">
      <alignment vertical="center"/>
    </xf>
    <xf numFmtId="0" fontId="12" fillId="4" borderId="19" xfId="0" applyFont="1" applyFill="1" applyBorder="1" applyAlignment="1">
      <alignment horizontal="left" vertical="center"/>
    </xf>
    <xf numFmtId="14" fontId="12" fillId="4" borderId="54" xfId="0" applyNumberFormat="1" applyFont="1" applyFill="1" applyBorder="1" applyAlignment="1">
      <alignment horizontal="center" vertical="center"/>
    </xf>
    <xf numFmtId="164" fontId="13" fillId="3" borderId="43" xfId="80" applyFont="1" applyFill="1" applyBorder="1" applyAlignment="1">
      <alignment horizontal="left" vertical="center"/>
    </xf>
    <xf numFmtId="164" fontId="13" fillId="3" borderId="46" xfId="80" applyFont="1" applyFill="1" applyBorder="1" applyAlignment="1">
      <alignment horizontal="center" vertical="center"/>
    </xf>
    <xf numFmtId="164" fontId="13" fillId="3" borderId="46" xfId="80" applyFont="1" applyFill="1" applyBorder="1" applyAlignment="1">
      <alignment horizontal="left" vertical="center"/>
    </xf>
    <xf numFmtId="164" fontId="13" fillId="3" borderId="49" xfId="80" applyFont="1" applyFill="1" applyBorder="1" applyAlignment="1">
      <alignment horizontal="left" vertical="center"/>
    </xf>
    <xf numFmtId="164" fontId="13" fillId="3" borderId="68" xfId="8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164" fontId="13" fillId="4" borderId="41" xfId="80" applyFont="1" applyFill="1" applyBorder="1" applyAlignment="1">
      <alignment horizontal="left" vertical="center"/>
    </xf>
    <xf numFmtId="2" fontId="13" fillId="4" borderId="41" xfId="0" applyNumberFormat="1" applyFont="1" applyFill="1" applyBorder="1" applyAlignment="1">
      <alignment horizontal="left" vertical="center"/>
    </xf>
    <xf numFmtId="2" fontId="13" fillId="4" borderId="41" xfId="0" applyNumberFormat="1" applyFont="1" applyFill="1" applyBorder="1" applyAlignment="1">
      <alignment horizontal="center" vertical="center"/>
    </xf>
    <xf numFmtId="14" fontId="12" fillId="4" borderId="41" xfId="0" applyNumberFormat="1" applyFont="1" applyFill="1" applyBorder="1" applyAlignment="1">
      <alignment vertical="center"/>
    </xf>
    <xf numFmtId="0" fontId="12" fillId="4" borderId="51" xfId="0" applyFont="1" applyFill="1" applyBorder="1" applyAlignment="1">
      <alignment vertical="center"/>
    </xf>
    <xf numFmtId="164" fontId="13" fillId="3" borderId="43" xfId="80" applyFont="1" applyFill="1" applyBorder="1" applyAlignment="1">
      <alignment horizontal="center" vertical="center"/>
    </xf>
    <xf numFmtId="0" fontId="40" fillId="3" borderId="52" xfId="709" applyFill="1" applyBorder="1" applyAlignment="1">
      <alignment horizontal="center" vertical="top" wrapText="1"/>
    </xf>
    <xf numFmtId="0" fontId="40" fillId="3" borderId="52" xfId="709" applyFill="1" applyBorder="1" applyAlignment="1">
      <alignment horizontal="center" vertical="center" wrapText="1"/>
    </xf>
    <xf numFmtId="0" fontId="53" fillId="3" borderId="0" xfId="0" applyFont="1" applyFill="1" applyAlignment="1">
      <alignment horizontal="left" vertical="center" wrapText="1"/>
    </xf>
    <xf numFmtId="4" fontId="15" fillId="0" borderId="6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5" fillId="0" borderId="10" xfId="0" applyNumberFormat="1" applyFont="1" applyBorder="1" applyAlignment="1">
      <alignment horizontal="center"/>
    </xf>
    <xf numFmtId="4" fontId="15" fillId="0" borderId="7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/>
    </xf>
    <xf numFmtId="2" fontId="15" fillId="0" borderId="36" xfId="0" applyNumberFormat="1" applyFont="1" applyBorder="1" applyAlignment="1">
      <alignment horizontal="center"/>
    </xf>
    <xf numFmtId="0" fontId="39" fillId="3" borderId="47" xfId="709" applyFont="1" applyFill="1" applyBorder="1"/>
    <xf numFmtId="0" fontId="39" fillId="3" borderId="48" xfId="709" applyFont="1" applyFill="1" applyBorder="1"/>
    <xf numFmtId="4" fontId="15" fillId="0" borderId="25" xfId="0" applyNumberFormat="1" applyFont="1" applyBorder="1" applyAlignment="1">
      <alignment horizontal="center"/>
    </xf>
    <xf numFmtId="164" fontId="15" fillId="0" borderId="4" xfId="80" quotePrefix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164" fontId="15" fillId="0" borderId="7" xfId="80" quotePrefix="1" applyFont="1" applyBorder="1" applyAlignment="1">
      <alignment horizontal="center" vertical="center"/>
    </xf>
    <xf numFmtId="164" fontId="15" fillId="0" borderId="9" xfId="80" quotePrefix="1" applyFont="1" applyBorder="1" applyAlignment="1">
      <alignment horizontal="center" vertical="center"/>
    </xf>
    <xf numFmtId="2" fontId="13" fillId="0" borderId="62" xfId="0" applyNumberFormat="1" applyFont="1" applyBorder="1" applyAlignment="1">
      <alignment horizontal="center"/>
    </xf>
    <xf numFmtId="2" fontId="13" fillId="0" borderId="46" xfId="0" applyNumberFormat="1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40" fillId="0" borderId="34" xfId="80" applyFont="1" applyBorder="1" applyAlignment="1">
      <alignment vertical="center" wrapText="1"/>
    </xf>
    <xf numFmtId="164" fontId="40" fillId="3" borderId="56" xfId="80" applyFont="1" applyFill="1" applyBorder="1" applyAlignment="1">
      <alignment vertical="center" wrapText="1"/>
    </xf>
    <xf numFmtId="10" fontId="42" fillId="4" borderId="59" xfId="774" applyNumberFormat="1" applyFont="1" applyFill="1" applyBorder="1" applyAlignment="1">
      <alignment horizontal="center" vertical="center"/>
    </xf>
    <xf numFmtId="164" fontId="40" fillId="0" borderId="4" xfId="80" applyFont="1" applyBorder="1" applyAlignment="1">
      <alignment vertical="center" wrapText="1"/>
    </xf>
    <xf numFmtId="164" fontId="40" fillId="0" borderId="5" xfId="80" applyFont="1" applyBorder="1" applyAlignment="1">
      <alignment vertical="center" wrapText="1"/>
    </xf>
    <xf numFmtId="164" fontId="40" fillId="0" borderId="6" xfId="80" applyFont="1" applyBorder="1" applyAlignment="1">
      <alignment vertical="center" wrapText="1"/>
    </xf>
    <xf numFmtId="164" fontId="40" fillId="0" borderId="7" xfId="80" applyFont="1" applyBorder="1" applyAlignment="1">
      <alignment vertical="center" wrapText="1"/>
    </xf>
    <xf numFmtId="164" fontId="40" fillId="3" borderId="9" xfId="80" applyFont="1" applyFill="1" applyBorder="1" applyAlignment="1">
      <alignment vertical="center" wrapText="1"/>
    </xf>
    <xf numFmtId="164" fontId="40" fillId="0" borderId="55" xfId="80" applyFont="1" applyBorder="1" applyAlignment="1">
      <alignment vertical="center" wrapText="1"/>
    </xf>
    <xf numFmtId="164" fontId="40" fillId="0" borderId="9" xfId="80" applyFont="1" applyBorder="1" applyAlignment="1">
      <alignment vertical="center" wrapText="1"/>
    </xf>
    <xf numFmtId="0" fontId="51" fillId="8" borderId="22" xfId="0" applyFont="1" applyFill="1" applyBorder="1"/>
    <xf numFmtId="0" fontId="12" fillId="4" borderId="64" xfId="0" applyFont="1" applyFill="1" applyBorder="1" applyAlignment="1">
      <alignment horizontal="center" wrapText="1"/>
    </xf>
    <xf numFmtId="0" fontId="12" fillId="4" borderId="60" xfId="0" applyFont="1" applyFill="1" applyBorder="1" applyAlignment="1">
      <alignment horizontal="center" vertical="center"/>
    </xf>
    <xf numFmtId="14" fontId="24" fillId="4" borderId="0" xfId="0" applyNumberFormat="1" applyFont="1" applyFill="1" applyAlignment="1">
      <alignment horizontal="center" vertical="center"/>
    </xf>
    <xf numFmtId="14" fontId="24" fillId="3" borderId="0" xfId="0" applyNumberFormat="1" applyFont="1" applyFill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/>
    </xf>
    <xf numFmtId="0" fontId="15" fillId="3" borderId="47" xfId="0" applyFont="1" applyFill="1" applyBorder="1" applyAlignment="1">
      <alignment horizontal="left" wrapText="1" shrinkToFit="1"/>
    </xf>
    <xf numFmtId="0" fontId="15" fillId="3" borderId="14" xfId="0" applyFont="1" applyFill="1" applyBorder="1" applyAlignment="1">
      <alignment horizontal="left" wrapText="1" shrinkToFit="1"/>
    </xf>
    <xf numFmtId="2" fontId="15" fillId="0" borderId="15" xfId="0" applyNumberFormat="1" applyFont="1" applyBorder="1" applyAlignment="1">
      <alignment horizontal="center"/>
    </xf>
    <xf numFmtId="0" fontId="17" fillId="4" borderId="14" xfId="0" applyFont="1" applyFill="1" applyBorder="1" applyAlignment="1">
      <alignment horizontal="left" wrapText="1" shrinkToFit="1"/>
    </xf>
    <xf numFmtId="4" fontId="17" fillId="0" borderId="62" xfId="0" applyNumberFormat="1" applyFont="1" applyBorder="1" applyAlignment="1">
      <alignment horizontal="center"/>
    </xf>
    <xf numFmtId="2" fontId="17" fillId="0" borderId="15" xfId="0" applyNumberFormat="1" applyFont="1" applyBorder="1" applyAlignment="1">
      <alignment horizontal="center"/>
    </xf>
    <xf numFmtId="0" fontId="64" fillId="0" borderId="49" xfId="709" applyFont="1" applyBorder="1" applyAlignment="1">
      <alignment horizontal="center" vertical="top" wrapText="1"/>
    </xf>
    <xf numFmtId="0" fontId="64" fillId="0" borderId="50" xfId="709" applyFont="1" applyBorder="1" applyAlignment="1">
      <alignment horizontal="center" vertical="top" wrapText="1"/>
    </xf>
    <xf numFmtId="4" fontId="13" fillId="0" borderId="7" xfId="0" applyNumberFormat="1" applyFont="1" applyBorder="1" applyAlignment="1">
      <alignment horizontal="center"/>
    </xf>
    <xf numFmtId="164" fontId="13" fillId="0" borderId="8" xfId="80" applyFont="1" applyBorder="1" applyAlignment="1">
      <alignment horizontal="center"/>
    </xf>
    <xf numFmtId="0" fontId="40" fillId="4" borderId="49" xfId="709" applyFill="1" applyBorder="1" applyAlignment="1">
      <alignment horizontal="center" vertical="top" wrapText="1"/>
    </xf>
    <xf numFmtId="0" fontId="40" fillId="4" borderId="50" xfId="709" applyFill="1" applyBorder="1" applyAlignment="1">
      <alignment horizontal="center" vertical="top" wrapText="1"/>
    </xf>
    <xf numFmtId="4" fontId="15" fillId="0" borderId="53" xfId="0" applyNumberFormat="1" applyFont="1" applyBorder="1" applyAlignment="1">
      <alignment horizontal="center"/>
    </xf>
    <xf numFmtId="4" fontId="15" fillId="3" borderId="49" xfId="0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wrapText="1" shrinkToFit="1"/>
    </xf>
    <xf numFmtId="0" fontId="17" fillId="4" borderId="23" xfId="0" applyFont="1" applyFill="1" applyBorder="1" applyAlignment="1">
      <alignment wrapText="1" shrinkToFit="1"/>
    </xf>
    <xf numFmtId="0" fontId="17" fillId="4" borderId="17" xfId="0" applyFont="1" applyFill="1" applyBorder="1" applyAlignment="1">
      <alignment wrapText="1" shrinkToFit="1"/>
    </xf>
    <xf numFmtId="0" fontId="17" fillId="4" borderId="19" xfId="0" applyFont="1" applyFill="1" applyBorder="1" applyAlignment="1">
      <alignment wrapText="1" shrinkToFit="1"/>
    </xf>
    <xf numFmtId="0" fontId="17" fillId="4" borderId="0" xfId="0" applyFont="1" applyFill="1" applyAlignment="1">
      <alignment wrapText="1" shrinkToFit="1"/>
    </xf>
    <xf numFmtId="0" fontId="17" fillId="4" borderId="20" xfId="0" applyFont="1" applyFill="1" applyBorder="1" applyAlignment="1">
      <alignment wrapText="1" shrinkToFit="1"/>
    </xf>
    <xf numFmtId="4" fontId="17" fillId="3" borderId="46" xfId="0" applyNumberFormat="1" applyFont="1" applyFill="1" applyBorder="1" applyAlignment="1">
      <alignment horizontal="center" vertical="center"/>
    </xf>
    <xf numFmtId="4" fontId="17" fillId="3" borderId="50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wrapText="1" shrinkToFit="1"/>
    </xf>
    <xf numFmtId="0" fontId="17" fillId="4" borderId="24" xfId="0" applyFont="1" applyFill="1" applyBorder="1" applyAlignment="1">
      <alignment wrapText="1" shrinkToFit="1"/>
    </xf>
    <xf numFmtId="4" fontId="17" fillId="3" borderId="62" xfId="0" applyNumberFormat="1" applyFont="1" applyFill="1" applyBorder="1" applyAlignment="1">
      <alignment horizontal="center" vertical="center"/>
    </xf>
    <xf numFmtId="4" fontId="17" fillId="3" borderId="49" xfId="0" applyNumberFormat="1" applyFont="1" applyFill="1" applyBorder="1" applyAlignment="1">
      <alignment horizontal="center" vertical="center"/>
    </xf>
    <xf numFmtId="0" fontId="39" fillId="2" borderId="2" xfId="709" applyFont="1" applyFill="1" applyBorder="1" applyAlignment="1">
      <alignment wrapText="1"/>
    </xf>
    <xf numFmtId="0" fontId="39" fillId="2" borderId="16" xfId="709" applyFont="1" applyFill="1" applyBorder="1" applyAlignment="1">
      <alignment wrapText="1"/>
    </xf>
    <xf numFmtId="0" fontId="39" fillId="2" borderId="23" xfId="709" applyFont="1" applyFill="1" applyBorder="1" applyAlignment="1">
      <alignment wrapText="1"/>
    </xf>
    <xf numFmtId="0" fontId="39" fillId="2" borderId="44" xfId="709" applyFont="1" applyFill="1" applyBorder="1"/>
    <xf numFmtId="0" fontId="39" fillId="2" borderId="56" xfId="709" applyFont="1" applyFill="1" applyBorder="1"/>
    <xf numFmtId="0" fontId="39" fillId="2" borderId="34" xfId="709" applyFont="1" applyFill="1" applyBorder="1" applyAlignment="1">
      <alignment wrapText="1"/>
    </xf>
    <xf numFmtId="0" fontId="64" fillId="0" borderId="68" xfId="709" applyFont="1" applyBorder="1" applyAlignment="1">
      <alignment horizontal="center" vertical="top" wrapText="1"/>
    </xf>
    <xf numFmtId="0" fontId="17" fillId="4" borderId="19" xfId="0" applyFont="1" applyFill="1" applyBorder="1" applyAlignment="1">
      <alignment horizontal="left"/>
    </xf>
    <xf numFmtId="0" fontId="17" fillId="4" borderId="0" xfId="0" applyFont="1" applyFill="1" applyAlignment="1">
      <alignment horizontal="left"/>
    </xf>
    <xf numFmtId="0" fontId="17" fillId="4" borderId="20" xfId="0" applyFont="1" applyFill="1" applyBorder="1" applyAlignment="1">
      <alignment horizontal="left"/>
    </xf>
    <xf numFmtId="4" fontId="13" fillId="0" borderId="9" xfId="0" applyNumberFormat="1" applyFont="1" applyBorder="1" applyAlignment="1">
      <alignment horizontal="center"/>
    </xf>
    <xf numFmtId="164" fontId="13" fillId="0" borderId="11" xfId="8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4" borderId="23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5" fillId="4" borderId="24" xfId="0" applyFont="1" applyFill="1" applyBorder="1" applyAlignment="1">
      <alignment vertical="center"/>
    </xf>
    <xf numFmtId="0" fontId="15" fillId="4" borderId="79" xfId="0" applyFont="1" applyFill="1" applyBorder="1" applyAlignment="1">
      <alignment horizontal="center"/>
    </xf>
    <xf numFmtId="0" fontId="15" fillId="4" borderId="74" xfId="0" applyFont="1" applyFill="1" applyBorder="1" applyAlignment="1">
      <alignment horizontal="center"/>
    </xf>
    <xf numFmtId="4" fontId="15" fillId="0" borderId="68" xfId="0" applyNumberFormat="1" applyFont="1" applyBorder="1" applyAlignment="1">
      <alignment horizontal="center"/>
    </xf>
    <xf numFmtId="3" fontId="15" fillId="0" borderId="29" xfId="0" quotePrefix="1" applyNumberFormat="1" applyFont="1" applyBorder="1" applyAlignment="1">
      <alignment horizontal="center"/>
    </xf>
    <xf numFmtId="0" fontId="64" fillId="0" borderId="54" xfId="709" applyFont="1" applyBorder="1" applyAlignment="1">
      <alignment horizontal="center" vertical="top" wrapText="1"/>
    </xf>
    <xf numFmtId="168" fontId="63" fillId="0" borderId="50" xfId="773" applyFont="1" applyBorder="1" applyAlignment="1">
      <alignment horizontal="center" wrapText="1"/>
    </xf>
    <xf numFmtId="14" fontId="13" fillId="0" borderId="31" xfId="0" applyNumberFormat="1" applyFont="1" applyBorder="1" applyAlignment="1">
      <alignment horizontal="center"/>
    </xf>
    <xf numFmtId="0" fontId="13" fillId="0" borderId="55" xfId="0" applyFont="1" applyBorder="1"/>
    <xf numFmtId="0" fontId="15" fillId="0" borderId="0" xfId="0" applyFont="1" applyAlignment="1">
      <alignment horizontal="center"/>
    </xf>
    <xf numFmtId="0" fontId="29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2" fillId="0" borderId="0" xfId="709" applyFont="1" applyAlignment="1">
      <alignment horizontal="center" wrapText="1"/>
    </xf>
    <xf numFmtId="0" fontId="49" fillId="0" borderId="0" xfId="709" applyFont="1" applyAlignment="1">
      <alignment horizontal="center" wrapText="1"/>
    </xf>
    <xf numFmtId="0" fontId="28" fillId="0" borderId="0" xfId="0" applyFont="1" applyAlignment="1">
      <alignment horizontal="center"/>
    </xf>
    <xf numFmtId="0" fontId="7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62" fillId="0" borderId="0" xfId="0" applyFont="1" applyAlignment="1">
      <alignment horizontal="left" vertical="justify" wrapText="1"/>
    </xf>
    <xf numFmtId="0" fontId="2" fillId="4" borderId="51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wrapText="1"/>
    </xf>
    <xf numFmtId="0" fontId="2" fillId="4" borderId="52" xfId="0" applyFont="1" applyFill="1" applyBorder="1" applyAlignment="1">
      <alignment horizontal="left" wrapText="1"/>
    </xf>
    <xf numFmtId="0" fontId="2" fillId="4" borderId="53" xfId="0" applyFont="1" applyFill="1" applyBorder="1" applyAlignment="1">
      <alignment horizontal="left" wrapText="1"/>
    </xf>
    <xf numFmtId="0" fontId="57" fillId="4" borderId="52" xfId="0" applyFont="1" applyFill="1" applyBorder="1" applyAlignment="1">
      <alignment horizontal="center"/>
    </xf>
    <xf numFmtId="0" fontId="57" fillId="4" borderId="53" xfId="0" applyFont="1" applyFill="1" applyBorder="1" applyAlignment="1">
      <alignment horizontal="center"/>
    </xf>
    <xf numFmtId="0" fontId="60" fillId="4" borderId="42" xfId="0" applyFont="1" applyFill="1" applyBorder="1" applyAlignment="1">
      <alignment horizontal="center" vertical="center" wrapText="1"/>
    </xf>
    <xf numFmtId="0" fontId="60" fillId="4" borderId="54" xfId="0" applyFont="1" applyFill="1" applyBorder="1" applyAlignment="1">
      <alignment horizontal="center" vertical="center" wrapText="1"/>
    </xf>
    <xf numFmtId="0" fontId="60" fillId="4" borderId="43" xfId="0" applyFont="1" applyFill="1" applyBorder="1" applyAlignment="1">
      <alignment horizontal="center" vertical="center" wrapText="1"/>
    </xf>
    <xf numFmtId="0" fontId="39" fillId="0" borderId="51" xfId="709" applyFont="1" applyBorder="1" applyAlignment="1">
      <alignment horizontal="center"/>
    </xf>
    <xf numFmtId="0" fontId="39" fillId="0" borderId="52" xfId="709" applyFont="1" applyBorder="1" applyAlignment="1">
      <alignment horizontal="center"/>
    </xf>
    <xf numFmtId="0" fontId="39" fillId="0" borderId="53" xfId="709" applyFont="1" applyBorder="1" applyAlignment="1">
      <alignment horizontal="center"/>
    </xf>
    <xf numFmtId="0" fontId="57" fillId="4" borderId="23" xfId="0" applyFont="1" applyFill="1" applyBorder="1" applyAlignment="1">
      <alignment horizontal="center" vertical="center"/>
    </xf>
    <xf numFmtId="0" fontId="57" fillId="4" borderId="17" xfId="0" applyFont="1" applyFill="1" applyBorder="1" applyAlignment="1">
      <alignment horizontal="center" vertical="center"/>
    </xf>
    <xf numFmtId="0" fontId="57" fillId="4" borderId="24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0" fillId="0" borderId="7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7" xfId="0" applyBorder="1" applyAlignment="1">
      <alignment horizontal="center"/>
    </xf>
    <xf numFmtId="0" fontId="58" fillId="0" borderId="75" xfId="0" applyFont="1" applyBorder="1" applyAlignment="1">
      <alignment horizontal="center" wrapText="1"/>
    </xf>
    <xf numFmtId="0" fontId="59" fillId="0" borderId="77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1" fillId="2" borderId="5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center" wrapText="1"/>
    </xf>
    <xf numFmtId="0" fontId="61" fillId="2" borderId="6" xfId="0" applyFont="1" applyFill="1" applyBorder="1" applyAlignment="1">
      <alignment horizontal="center" vertical="center" wrapText="1"/>
    </xf>
    <xf numFmtId="0" fontId="61" fillId="2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48" fillId="4" borderId="71" xfId="709" applyFont="1" applyFill="1" applyBorder="1" applyAlignment="1">
      <alignment horizontal="center" wrapText="1"/>
    </xf>
    <xf numFmtId="0" fontId="48" fillId="4" borderId="23" xfId="709" applyFont="1" applyFill="1" applyBorder="1" applyAlignment="1">
      <alignment horizontal="center" wrapText="1"/>
    </xf>
    <xf numFmtId="0" fontId="48" fillId="4" borderId="17" xfId="709" applyFont="1" applyFill="1" applyBorder="1" applyAlignment="1">
      <alignment horizontal="center" wrapText="1"/>
    </xf>
    <xf numFmtId="0" fontId="48" fillId="4" borderId="40" xfId="709" applyFont="1" applyFill="1" applyBorder="1" applyAlignment="1">
      <alignment horizontal="center" wrapText="1"/>
    </xf>
    <xf numFmtId="0" fontId="48" fillId="4" borderId="2" xfId="709" applyFont="1" applyFill="1" applyBorder="1" applyAlignment="1">
      <alignment horizontal="center" wrapText="1"/>
    </xf>
    <xf numFmtId="0" fontId="48" fillId="4" borderId="45" xfId="709" applyFont="1" applyFill="1" applyBorder="1" applyAlignment="1">
      <alignment horizontal="center" wrapText="1"/>
    </xf>
    <xf numFmtId="0" fontId="39" fillId="0" borderId="12" xfId="709" applyFont="1" applyBorder="1" applyAlignment="1">
      <alignment horizontal="center"/>
    </xf>
    <xf numFmtId="0" fontId="39" fillId="0" borderId="47" xfId="709" applyFont="1" applyBorder="1" applyAlignment="1">
      <alignment horizontal="center"/>
    </xf>
    <xf numFmtId="0" fontId="39" fillId="0" borderId="27" xfId="709" applyFont="1" applyBorder="1" applyAlignment="1">
      <alignment horizontal="center"/>
    </xf>
    <xf numFmtId="0" fontId="39" fillId="0" borderId="35" xfId="709" applyFont="1" applyBorder="1" applyAlignment="1">
      <alignment horizontal="center"/>
    </xf>
    <xf numFmtId="0" fontId="39" fillId="0" borderId="48" xfId="709" applyFont="1" applyBorder="1" applyAlignment="1">
      <alignment horizontal="center"/>
    </xf>
    <xf numFmtId="0" fontId="39" fillId="0" borderId="36" xfId="709" applyFont="1" applyBorder="1" applyAlignment="1">
      <alignment horizontal="center"/>
    </xf>
    <xf numFmtId="0" fontId="39" fillId="0" borderId="40" xfId="709" applyFont="1" applyBorder="1" applyAlignment="1">
      <alignment horizontal="center"/>
    </xf>
    <xf numFmtId="0" fontId="39" fillId="0" borderId="2" xfId="709" applyFont="1" applyBorder="1" applyAlignment="1">
      <alignment horizontal="center"/>
    </xf>
    <xf numFmtId="0" fontId="39" fillId="0" borderId="45" xfId="709" applyFont="1" applyBorder="1" applyAlignment="1">
      <alignment horizontal="center"/>
    </xf>
    <xf numFmtId="0" fontId="55" fillId="4" borderId="67" xfId="709" applyFont="1" applyFill="1" applyBorder="1" applyAlignment="1">
      <alignment horizontal="center"/>
    </xf>
    <xf numFmtId="0" fontId="55" fillId="4" borderId="52" xfId="709" applyFont="1" applyFill="1" applyBorder="1" applyAlignment="1">
      <alignment horizontal="center"/>
    </xf>
    <xf numFmtId="0" fontId="55" fillId="4" borderId="53" xfId="709" applyFont="1" applyFill="1" applyBorder="1" applyAlignment="1">
      <alignment horizontal="center"/>
    </xf>
    <xf numFmtId="0" fontId="39" fillId="0" borderId="71" xfId="709" applyFont="1" applyBorder="1" applyAlignment="1">
      <alignment horizontal="center"/>
    </xf>
    <xf numFmtId="0" fontId="39" fillId="0" borderId="23" xfId="709" applyFont="1" applyBorder="1" applyAlignment="1">
      <alignment horizontal="center"/>
    </xf>
    <xf numFmtId="0" fontId="39" fillId="0" borderId="17" xfId="709" applyFont="1" applyBorder="1" applyAlignment="1">
      <alignment horizontal="center"/>
    </xf>
    <xf numFmtId="0" fontId="56" fillId="4" borderId="67" xfId="709" applyFont="1" applyFill="1" applyBorder="1" applyAlignment="1">
      <alignment horizontal="center"/>
    </xf>
    <xf numFmtId="0" fontId="56" fillId="4" borderId="52" xfId="709" applyFont="1" applyFill="1" applyBorder="1" applyAlignment="1">
      <alignment horizontal="center"/>
    </xf>
    <xf numFmtId="0" fontId="56" fillId="4" borderId="53" xfId="709" applyFont="1" applyFill="1" applyBorder="1" applyAlignment="1">
      <alignment horizontal="center"/>
    </xf>
    <xf numFmtId="0" fontId="39" fillId="0" borderId="25" xfId="709" applyFont="1" applyBorder="1" applyAlignment="1">
      <alignment horizontal="center"/>
    </xf>
    <xf numFmtId="0" fontId="39" fillId="0" borderId="14" xfId="709" applyFont="1" applyBorder="1" applyAlignment="1">
      <alignment horizontal="center"/>
    </xf>
    <xf numFmtId="0" fontId="39" fillId="0" borderId="15" xfId="709" applyFont="1" applyBorder="1" applyAlignment="1">
      <alignment horizontal="center"/>
    </xf>
    <xf numFmtId="0" fontId="17" fillId="4" borderId="1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left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14" fontId="34" fillId="6" borderId="65" xfId="0" applyNumberFormat="1" applyFont="1" applyFill="1" applyBorder="1" applyAlignment="1">
      <alignment horizontal="center" vertical="center"/>
    </xf>
    <xf numFmtId="14" fontId="34" fillId="6" borderId="57" xfId="0" applyNumberFormat="1" applyFont="1" applyFill="1" applyBorder="1" applyAlignment="1">
      <alignment horizontal="center" vertical="center"/>
    </xf>
    <xf numFmtId="14" fontId="34" fillId="6" borderId="63" xfId="0" applyNumberFormat="1" applyFont="1" applyFill="1" applyBorder="1" applyAlignment="1">
      <alignment horizontal="center" vertical="center"/>
    </xf>
    <xf numFmtId="14" fontId="34" fillId="6" borderId="59" xfId="0" applyNumberFormat="1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5" xfId="0" applyFont="1" applyFill="1" applyBorder="1" applyAlignment="1">
      <alignment horizontal="left" vertical="center"/>
    </xf>
    <xf numFmtId="3" fontId="33" fillId="5" borderId="13" xfId="0" applyNumberFormat="1" applyFont="1" applyFill="1" applyBorder="1" applyAlignment="1">
      <alignment horizontal="center" vertical="center"/>
    </xf>
    <xf numFmtId="0" fontId="33" fillId="5" borderId="15" xfId="0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4" fontId="15" fillId="3" borderId="15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4" fontId="15" fillId="3" borderId="56" xfId="0" applyNumberFormat="1" applyFont="1" applyFill="1" applyBorder="1" applyAlignment="1">
      <alignment horizontal="center" vertical="center"/>
    </xf>
    <xf numFmtId="4" fontId="15" fillId="3" borderId="36" xfId="0" applyNumberFormat="1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left" vertical="center" wrapText="1"/>
    </xf>
    <xf numFmtId="4" fontId="15" fillId="0" borderId="47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4" fontId="14" fillId="4" borderId="19" xfId="0" applyNumberFormat="1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14" fontId="14" fillId="4" borderId="21" xfId="0" applyNumberFormat="1" applyFont="1" applyFill="1" applyBorder="1" applyAlignment="1">
      <alignment horizontal="center" vertical="center" wrapText="1"/>
    </xf>
    <xf numFmtId="14" fontId="14" fillId="4" borderId="24" xfId="0" applyNumberFormat="1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left" vertical="center" wrapText="1"/>
    </xf>
    <xf numFmtId="0" fontId="15" fillId="3" borderId="52" xfId="0" applyFont="1" applyFill="1" applyBorder="1" applyAlignment="1">
      <alignment horizontal="left" vertical="center" wrapText="1"/>
    </xf>
    <xf numFmtId="0" fontId="15" fillId="3" borderId="53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right" vertical="top"/>
    </xf>
    <xf numFmtId="0" fontId="14" fillId="4" borderId="23" xfId="0" applyFont="1" applyFill="1" applyBorder="1" applyAlignment="1">
      <alignment horizontal="right" vertical="top"/>
    </xf>
    <xf numFmtId="0" fontId="11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20" xfId="0" applyFont="1" applyFill="1" applyBorder="1" applyAlignment="1">
      <alignment horizontal="left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4" fontId="15" fillId="3" borderId="16" xfId="0" applyNumberFormat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/>
    </xf>
    <xf numFmtId="4" fontId="15" fillId="0" borderId="38" xfId="0" applyNumberFormat="1" applyFont="1" applyBorder="1" applyAlignment="1">
      <alignment horizontal="center"/>
    </xf>
    <xf numFmtId="4" fontId="15" fillId="0" borderId="37" xfId="0" applyNumberFormat="1" applyFont="1" applyBorder="1" applyAlignment="1">
      <alignment horizontal="center"/>
    </xf>
    <xf numFmtId="0" fontId="14" fillId="4" borderId="23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left" wrapText="1"/>
    </xf>
    <xf numFmtId="0" fontId="33" fillId="8" borderId="0" xfId="0" applyFont="1" applyFill="1" applyAlignment="1">
      <alignment horizontal="left" wrapText="1"/>
    </xf>
    <xf numFmtId="0" fontId="33" fillId="8" borderId="20" xfId="0" applyFont="1" applyFill="1" applyBorder="1" applyAlignment="1">
      <alignment horizontal="left" wrapText="1"/>
    </xf>
    <xf numFmtId="0" fontId="33" fillId="8" borderId="21" xfId="0" applyFont="1" applyFill="1" applyBorder="1" applyAlignment="1">
      <alignment horizontal="left" wrapText="1"/>
    </xf>
    <xf numFmtId="0" fontId="33" fillId="8" borderId="24" xfId="0" applyFont="1" applyFill="1" applyBorder="1" applyAlignment="1">
      <alignment horizontal="left" wrapText="1"/>
    </xf>
    <xf numFmtId="0" fontId="33" fillId="8" borderId="22" xfId="0" applyFont="1" applyFill="1" applyBorder="1" applyAlignment="1">
      <alignment horizontal="left" wrapText="1"/>
    </xf>
    <xf numFmtId="4" fontId="15" fillId="0" borderId="48" xfId="0" applyNumberFormat="1" applyFont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0" fontId="33" fillId="4" borderId="51" xfId="0" applyFont="1" applyFill="1" applyBorder="1" applyAlignment="1">
      <alignment horizontal="center" vertical="center" wrapText="1"/>
    </xf>
    <xf numFmtId="0" fontId="33" fillId="4" borderId="5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0" fontId="14" fillId="4" borderId="23" xfId="0" applyNumberFormat="1" applyFont="1" applyFill="1" applyBorder="1" applyAlignment="1">
      <alignment horizontal="left" vertical="center"/>
    </xf>
    <xf numFmtId="10" fontId="14" fillId="4" borderId="17" xfId="0" applyNumberFormat="1" applyFont="1" applyFill="1" applyBorder="1" applyAlignment="1">
      <alignment horizontal="left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4" fontId="15" fillId="3" borderId="51" xfId="0" applyNumberFormat="1" applyFont="1" applyFill="1" applyBorder="1" applyAlignment="1">
      <alignment horizontal="center" vertical="center"/>
    </xf>
    <xf numFmtId="4" fontId="15" fillId="3" borderId="53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top"/>
    </xf>
    <xf numFmtId="0" fontId="15" fillId="4" borderId="24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horizontal="center" vertical="top"/>
    </xf>
    <xf numFmtId="0" fontId="24" fillId="4" borderId="16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left" vertical="center" wrapText="1"/>
    </xf>
    <xf numFmtId="0" fontId="15" fillId="4" borderId="52" xfId="0" applyFont="1" applyFill="1" applyBorder="1" applyAlignment="1">
      <alignment horizontal="left" vertical="center" wrapText="1"/>
    </xf>
    <xf numFmtId="0" fontId="15" fillId="4" borderId="53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0" fontId="11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4" fontId="15" fillId="0" borderId="45" xfId="0" applyNumberFormat="1" applyFont="1" applyBorder="1" applyAlignment="1">
      <alignment horizontal="center"/>
    </xf>
    <xf numFmtId="4" fontId="15" fillId="0" borderId="36" xfId="0" applyNumberFormat="1" applyFont="1" applyBorder="1" applyAlignment="1">
      <alignment horizontal="center"/>
    </xf>
    <xf numFmtId="14" fontId="24" fillId="4" borderId="19" xfId="0" applyNumberFormat="1" applyFont="1" applyFill="1" applyBorder="1" applyAlignment="1">
      <alignment horizontal="center"/>
    </xf>
    <xf numFmtId="14" fontId="24" fillId="4" borderId="0" xfId="0" applyNumberFormat="1" applyFont="1" applyFill="1" applyAlignment="1">
      <alignment horizontal="center"/>
    </xf>
    <xf numFmtId="14" fontId="24" fillId="4" borderId="20" xfId="0" applyNumberFormat="1" applyFont="1" applyFill="1" applyBorder="1" applyAlignment="1">
      <alignment horizontal="center"/>
    </xf>
    <xf numFmtId="4" fontId="15" fillId="0" borderId="13" xfId="0" applyNumberFormat="1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0" borderId="44" xfId="0" applyNumberFormat="1" applyFont="1" applyBorder="1" applyAlignment="1">
      <alignment horizontal="center"/>
    </xf>
    <xf numFmtId="4" fontId="15" fillId="0" borderId="27" xfId="0" applyNumberFormat="1" applyFont="1" applyBorder="1" applyAlignment="1">
      <alignment horizontal="center"/>
    </xf>
    <xf numFmtId="14" fontId="34" fillId="6" borderId="66" xfId="0" applyNumberFormat="1" applyFont="1" applyFill="1" applyBorder="1" applyAlignment="1">
      <alignment horizontal="center" vertical="center"/>
    </xf>
    <xf numFmtId="14" fontId="34" fillId="6" borderId="53" xfId="0" applyNumberFormat="1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4" fontId="34" fillId="6" borderId="51" xfId="0" applyNumberFormat="1" applyFont="1" applyFill="1" applyBorder="1" applyAlignment="1">
      <alignment horizontal="center" vertical="center"/>
    </xf>
    <xf numFmtId="0" fontId="15" fillId="4" borderId="28" xfId="0" quotePrefix="1" applyFont="1" applyFill="1" applyBorder="1" applyAlignment="1">
      <alignment horizontal="left" wrapText="1"/>
    </xf>
    <xf numFmtId="0" fontId="15" fillId="4" borderId="29" xfId="0" quotePrefix="1" applyFont="1" applyFill="1" applyBorder="1" applyAlignment="1">
      <alignment horizontal="left" wrapText="1"/>
    </xf>
    <xf numFmtId="0" fontId="15" fillId="4" borderId="30" xfId="0" quotePrefix="1" applyFont="1" applyFill="1" applyBorder="1" applyAlignment="1">
      <alignment horizontal="left" wrapText="1"/>
    </xf>
    <xf numFmtId="0" fontId="15" fillId="4" borderId="44" xfId="0" quotePrefix="1" applyFont="1" applyFill="1" applyBorder="1" applyAlignment="1">
      <alignment horizontal="left"/>
    </xf>
    <xf numFmtId="0" fontId="15" fillId="4" borderId="47" xfId="0" quotePrefix="1" applyFont="1" applyFill="1" applyBorder="1" applyAlignment="1">
      <alignment horizontal="left"/>
    </xf>
    <xf numFmtId="0" fontId="15" fillId="4" borderId="27" xfId="0" quotePrefix="1" applyFont="1" applyFill="1" applyBorder="1" applyAlignment="1">
      <alignment horizontal="left"/>
    </xf>
    <xf numFmtId="0" fontId="33" fillId="5" borderId="51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33" fillId="5" borderId="53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left" vertical="center" wrapText="1"/>
    </xf>
    <xf numFmtId="0" fontId="33" fillId="8" borderId="23" xfId="0" applyFont="1" applyFill="1" applyBorder="1" applyAlignment="1">
      <alignment horizontal="left" vertical="center" wrapText="1"/>
    </xf>
    <xf numFmtId="0" fontId="33" fillId="8" borderId="17" xfId="0" applyFont="1" applyFill="1" applyBorder="1" applyAlignment="1">
      <alignment horizontal="left" vertical="center" wrapText="1"/>
    </xf>
    <xf numFmtId="0" fontId="33" fillId="8" borderId="21" xfId="0" applyFont="1" applyFill="1" applyBorder="1" applyAlignment="1">
      <alignment horizontal="left" vertical="center" wrapText="1"/>
    </xf>
    <xf numFmtId="0" fontId="33" fillId="8" borderId="24" xfId="0" applyFont="1" applyFill="1" applyBorder="1" applyAlignment="1">
      <alignment horizontal="left" vertical="center" wrapText="1"/>
    </xf>
    <xf numFmtId="0" fontId="33" fillId="8" borderId="22" xfId="0" applyFont="1" applyFill="1" applyBorder="1" applyAlignment="1">
      <alignment horizontal="left" vertical="center" wrapText="1"/>
    </xf>
    <xf numFmtId="0" fontId="33" fillId="8" borderId="51" xfId="0" applyFont="1" applyFill="1" applyBorder="1" applyAlignment="1">
      <alignment horizontal="left" wrapText="1"/>
    </xf>
    <xf numFmtId="0" fontId="33" fillId="8" borderId="52" xfId="0" applyFont="1" applyFill="1" applyBorder="1" applyAlignment="1">
      <alignment horizontal="left" wrapText="1"/>
    </xf>
    <xf numFmtId="0" fontId="33" fillId="8" borderId="53" xfId="0" applyFont="1" applyFill="1" applyBorder="1" applyAlignment="1">
      <alignment horizontal="left" wrapText="1"/>
    </xf>
    <xf numFmtId="14" fontId="14" fillId="4" borderId="51" xfId="0" applyNumberFormat="1" applyFont="1" applyFill="1" applyBorder="1" applyAlignment="1">
      <alignment horizontal="center" vertical="center"/>
    </xf>
    <xf numFmtId="14" fontId="14" fillId="4" borderId="52" xfId="0" applyNumberFormat="1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23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0" fontId="34" fillId="6" borderId="22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24" fillId="4" borderId="17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wrapText="1"/>
    </xf>
    <xf numFmtId="0" fontId="15" fillId="4" borderId="15" xfId="0" applyFont="1" applyFill="1" applyBorder="1" applyAlignment="1">
      <alignment horizontal="left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20" xfId="0" applyFont="1" applyFill="1" applyBorder="1" applyAlignment="1">
      <alignment horizontal="center"/>
    </xf>
    <xf numFmtId="0" fontId="14" fillId="4" borderId="5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 applyProtection="1">
      <alignment horizontal="center" vertical="center"/>
      <protection locked="0"/>
    </xf>
    <xf numFmtId="0" fontId="15" fillId="7" borderId="47" xfId="0" applyFont="1" applyFill="1" applyBorder="1" applyAlignment="1" applyProtection="1">
      <alignment horizontal="center" vertical="center"/>
      <protection locked="0"/>
    </xf>
    <xf numFmtId="0" fontId="15" fillId="7" borderId="27" xfId="0" applyFont="1" applyFill="1" applyBorder="1" applyAlignment="1" applyProtection="1">
      <alignment horizontal="center" vertical="center"/>
      <protection locked="0"/>
    </xf>
    <xf numFmtId="4" fontId="15" fillId="0" borderId="56" xfId="0" applyNumberFormat="1" applyFont="1" applyBorder="1" applyAlignment="1">
      <alignment horizontal="center" vertical="center"/>
    </xf>
    <xf numFmtId="4" fontId="15" fillId="0" borderId="48" xfId="0" applyNumberFormat="1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left"/>
    </xf>
    <xf numFmtId="0" fontId="15" fillId="4" borderId="52" xfId="0" applyFont="1" applyFill="1" applyBorder="1" applyAlignment="1">
      <alignment horizontal="left"/>
    </xf>
    <xf numFmtId="0" fontId="24" fillId="3" borderId="0" xfId="0" applyFont="1" applyFill="1" applyAlignment="1">
      <alignment horizontal="center"/>
    </xf>
    <xf numFmtId="0" fontId="51" fillId="8" borderId="21" xfId="0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22" xfId="0" applyFont="1" applyFill="1" applyBorder="1" applyAlignment="1">
      <alignment horizontal="center"/>
    </xf>
    <xf numFmtId="0" fontId="14" fillId="4" borderId="51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 wrapText="1"/>
    </xf>
    <xf numFmtId="3" fontId="14" fillId="4" borderId="58" xfId="0" applyNumberFormat="1" applyFont="1" applyFill="1" applyBorder="1" applyAlignment="1">
      <alignment horizontal="center" vertical="center" wrapText="1"/>
    </xf>
    <xf numFmtId="3" fontId="14" fillId="4" borderId="64" xfId="0" applyNumberFormat="1" applyFont="1" applyFill="1" applyBorder="1" applyAlignment="1">
      <alignment horizontal="center" vertical="center" wrapText="1"/>
    </xf>
    <xf numFmtId="3" fontId="14" fillId="4" borderId="3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62" fillId="4" borderId="19" xfId="0" applyFont="1" applyFill="1" applyBorder="1" applyAlignment="1">
      <alignment horizontal="center"/>
    </xf>
    <xf numFmtId="0" fontId="62" fillId="4" borderId="0" xfId="0" applyFont="1" applyFill="1" applyAlignment="1">
      <alignment horizontal="center"/>
    </xf>
    <xf numFmtId="0" fontId="62" fillId="4" borderId="20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14" fontId="34" fillId="6" borderId="61" xfId="0" applyNumberFormat="1" applyFont="1" applyFill="1" applyBorder="1" applyAlignment="1">
      <alignment horizontal="center" vertical="center"/>
    </xf>
    <xf numFmtId="49" fontId="14" fillId="4" borderId="19" xfId="0" applyNumberFormat="1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24" xfId="0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34" xfId="0" quotePrefix="1" applyFont="1" applyFill="1" applyBorder="1" applyAlignment="1">
      <alignment horizontal="left"/>
    </xf>
    <xf numFmtId="0" fontId="15" fillId="4" borderId="2" xfId="0" quotePrefix="1" applyFont="1" applyFill="1" applyBorder="1" applyAlignment="1">
      <alignment horizontal="left"/>
    </xf>
    <xf numFmtId="0" fontId="15" fillId="4" borderId="45" xfId="0" quotePrefix="1" applyFont="1" applyFill="1" applyBorder="1" applyAlignment="1">
      <alignment horizontal="left"/>
    </xf>
    <xf numFmtId="0" fontId="14" fillId="4" borderId="19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left" vertical="center" wrapText="1" shrinkToFit="1"/>
    </xf>
    <xf numFmtId="0" fontId="15" fillId="4" borderId="23" xfId="0" applyFont="1" applyFill="1" applyBorder="1" applyAlignment="1">
      <alignment horizontal="left" vertical="center" wrapText="1" shrinkToFit="1"/>
    </xf>
    <xf numFmtId="0" fontId="15" fillId="4" borderId="17" xfId="0" applyFont="1" applyFill="1" applyBorder="1" applyAlignment="1">
      <alignment horizontal="left" vertical="center" wrapText="1" shrinkToFit="1"/>
    </xf>
    <xf numFmtId="0" fontId="15" fillId="4" borderId="21" xfId="0" applyFont="1" applyFill="1" applyBorder="1" applyAlignment="1">
      <alignment horizontal="left" vertical="center" wrapText="1" shrinkToFit="1"/>
    </xf>
    <xf numFmtId="0" fontId="15" fillId="4" borderId="24" xfId="0" applyFont="1" applyFill="1" applyBorder="1" applyAlignment="1">
      <alignment horizontal="left" vertical="center" wrapText="1" shrinkToFit="1"/>
    </xf>
    <xf numFmtId="0" fontId="15" fillId="4" borderId="22" xfId="0" applyFont="1" applyFill="1" applyBorder="1" applyAlignment="1">
      <alignment horizontal="left" vertical="center" wrapText="1" shrinkToFit="1"/>
    </xf>
    <xf numFmtId="4" fontId="15" fillId="0" borderId="56" xfId="0" applyNumberFormat="1" applyFont="1" applyBorder="1" applyAlignment="1">
      <alignment horizontal="center"/>
    </xf>
    <xf numFmtId="4" fontId="15" fillId="0" borderId="34" xfId="0" applyNumberFormat="1" applyFont="1" applyBorder="1" applyAlignment="1">
      <alignment horizontal="center"/>
    </xf>
    <xf numFmtId="0" fontId="15" fillId="4" borderId="51" xfId="0" applyFont="1" applyFill="1" applyBorder="1" applyAlignment="1">
      <alignment horizontal="left" wrapText="1"/>
    </xf>
    <xf numFmtId="0" fontId="15" fillId="4" borderId="52" xfId="0" applyFont="1" applyFill="1" applyBorder="1" applyAlignment="1">
      <alignment horizontal="left" wrapText="1"/>
    </xf>
    <xf numFmtId="0" fontId="15" fillId="4" borderId="53" xfId="0" applyFont="1" applyFill="1" applyBorder="1" applyAlignment="1">
      <alignment horizontal="left" wrapText="1"/>
    </xf>
    <xf numFmtId="0" fontId="14" fillId="4" borderId="16" xfId="0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right" vertical="center"/>
    </xf>
    <xf numFmtId="9" fontId="14" fillId="4" borderId="51" xfId="0" applyNumberFormat="1" applyFont="1" applyFill="1" applyBorder="1" applyAlignment="1">
      <alignment horizontal="center" vertical="center" wrapText="1"/>
    </xf>
    <xf numFmtId="9" fontId="14" fillId="4" borderId="53" xfId="0" applyNumberFormat="1" applyFont="1" applyFill="1" applyBorder="1" applyAlignment="1">
      <alignment horizontal="center" vertical="center" wrapText="1"/>
    </xf>
    <xf numFmtId="4" fontId="15" fillId="0" borderId="64" xfId="0" applyNumberFormat="1" applyFont="1" applyBorder="1" applyAlignment="1">
      <alignment horizontal="center"/>
    </xf>
    <xf numFmtId="4" fontId="15" fillId="0" borderId="60" xfId="0" applyNumberFormat="1" applyFont="1" applyBorder="1" applyAlignment="1">
      <alignment horizontal="center"/>
    </xf>
    <xf numFmtId="4" fontId="15" fillId="0" borderId="79" xfId="0" applyNumberFormat="1" applyFont="1" applyBorder="1" applyAlignment="1">
      <alignment horizontal="center"/>
    </xf>
    <xf numFmtId="4" fontId="15" fillId="0" borderId="76" xfId="0" applyNumberFormat="1" applyFont="1" applyBorder="1" applyAlignment="1">
      <alignment horizontal="center"/>
    </xf>
    <xf numFmtId="9" fontId="14" fillId="4" borderId="65" xfId="0" applyNumberFormat="1" applyFont="1" applyFill="1" applyBorder="1" applyAlignment="1">
      <alignment horizontal="center" vertical="center" wrapText="1"/>
    </xf>
    <xf numFmtId="9" fontId="14" fillId="4" borderId="57" xfId="0" applyNumberFormat="1" applyFont="1" applyFill="1" applyBorder="1" applyAlignment="1">
      <alignment horizontal="center" vertical="center" wrapText="1"/>
    </xf>
    <xf numFmtId="14" fontId="24" fillId="4" borderId="19" xfId="0" applyNumberFormat="1" applyFont="1" applyFill="1" applyBorder="1" applyAlignment="1">
      <alignment horizontal="center" vertical="center"/>
    </xf>
    <xf numFmtId="14" fontId="24" fillId="4" borderId="0" xfId="0" applyNumberFormat="1" applyFont="1" applyFill="1" applyAlignment="1">
      <alignment horizontal="center" vertical="center"/>
    </xf>
    <xf numFmtId="14" fontId="24" fillId="4" borderId="20" xfId="0" applyNumberFormat="1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wrapText="1"/>
    </xf>
    <xf numFmtId="49" fontId="34" fillId="6" borderId="21" xfId="0" applyNumberFormat="1" applyFont="1" applyFill="1" applyBorder="1" applyAlignment="1">
      <alignment horizontal="center" vertical="center"/>
    </xf>
    <xf numFmtId="14" fontId="34" fillId="6" borderId="22" xfId="0" applyNumberFormat="1" applyFont="1" applyFill="1" applyBorder="1" applyAlignment="1">
      <alignment horizontal="center" vertical="center"/>
    </xf>
    <xf numFmtId="14" fontId="33" fillId="6" borderId="52" xfId="0" applyNumberFormat="1" applyFont="1" applyFill="1" applyBorder="1" applyAlignment="1">
      <alignment horizontal="center" vertical="center"/>
    </xf>
    <xf numFmtId="14" fontId="33" fillId="6" borderId="53" xfId="0" applyNumberFormat="1" applyFont="1" applyFill="1" applyBorder="1" applyAlignment="1">
      <alignment horizontal="center" vertical="center"/>
    </xf>
    <xf numFmtId="14" fontId="34" fillId="6" borderId="58" xfId="0" applyNumberFormat="1" applyFont="1" applyFill="1" applyBorder="1" applyAlignment="1">
      <alignment horizontal="center" vertical="center"/>
    </xf>
    <xf numFmtId="14" fontId="34" fillId="6" borderId="21" xfId="0" applyNumberFormat="1" applyFont="1" applyFill="1" applyBorder="1" applyAlignment="1">
      <alignment horizontal="center" vertical="center"/>
    </xf>
    <xf numFmtId="0" fontId="34" fillId="6" borderId="19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14" fontId="34" fillId="6" borderId="64" xfId="0" applyNumberFormat="1" applyFont="1" applyFill="1" applyBorder="1" applyAlignment="1">
      <alignment horizontal="center" vertical="center"/>
    </xf>
    <xf numFmtId="14" fontId="34" fillId="6" borderId="60" xfId="0" applyNumberFormat="1" applyFont="1" applyFill="1" applyBorder="1" applyAlignment="1">
      <alignment horizontal="center" vertical="center"/>
    </xf>
    <xf numFmtId="0" fontId="34" fillId="6" borderId="65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14" fontId="33" fillId="6" borderId="19" xfId="0" applyNumberFormat="1" applyFont="1" applyFill="1" applyBorder="1" applyAlignment="1">
      <alignment horizontal="center" vertical="center"/>
    </xf>
    <xf numFmtId="14" fontId="33" fillId="6" borderId="0" xfId="0" applyNumberFormat="1" applyFont="1" applyFill="1" applyAlignment="1">
      <alignment horizontal="center" vertical="center"/>
    </xf>
    <xf numFmtId="14" fontId="33" fillId="6" borderId="21" xfId="0" applyNumberFormat="1" applyFont="1" applyFill="1" applyBorder="1" applyAlignment="1">
      <alignment horizontal="center" vertical="center"/>
    </xf>
    <xf numFmtId="14" fontId="33" fillId="6" borderId="24" xfId="0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23" xfId="0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24" fillId="4" borderId="20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left" vertical="center" wrapText="1"/>
    </xf>
    <xf numFmtId="14" fontId="33" fillId="6" borderId="51" xfId="0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14" fontId="14" fillId="3" borderId="74" xfId="0" applyNumberFormat="1" applyFont="1" applyFill="1" applyBorder="1" applyAlignment="1">
      <alignment horizontal="center" vertical="center"/>
    </xf>
    <xf numFmtId="14" fontId="14" fillId="3" borderId="29" xfId="0" applyNumberFormat="1" applyFont="1" applyFill="1" applyBorder="1" applyAlignment="1">
      <alignment horizontal="center" vertical="center"/>
    </xf>
    <xf numFmtId="14" fontId="14" fillId="3" borderId="73" xfId="0" applyNumberFormat="1" applyFont="1" applyFill="1" applyBorder="1" applyAlignment="1">
      <alignment horizontal="center" vertical="center"/>
    </xf>
    <xf numFmtId="14" fontId="14" fillId="3" borderId="0" xfId="0" applyNumberFormat="1" applyFont="1" applyFill="1" applyAlignment="1">
      <alignment horizontal="center" vertical="center" wrapText="1"/>
    </xf>
    <xf numFmtId="14" fontId="33" fillId="8" borderId="51" xfId="0" applyNumberFormat="1" applyFont="1" applyFill="1" applyBorder="1" applyAlignment="1">
      <alignment horizontal="center" vertical="center"/>
    </xf>
    <xf numFmtId="14" fontId="33" fillId="8" borderId="52" xfId="0" applyNumberFormat="1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center" vertical="center"/>
    </xf>
    <xf numFmtId="0" fontId="34" fillId="6" borderId="53" xfId="0" applyFont="1" applyFill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3" fontId="15" fillId="3" borderId="56" xfId="0" applyNumberFormat="1" applyFont="1" applyFill="1" applyBorder="1" applyAlignment="1">
      <alignment horizontal="center"/>
    </xf>
    <xf numFmtId="3" fontId="15" fillId="3" borderId="36" xfId="0" applyNumberFormat="1" applyFont="1" applyFill="1" applyBorder="1" applyAlignment="1">
      <alignment horizontal="center"/>
    </xf>
    <xf numFmtId="0" fontId="24" fillId="4" borderId="51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3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3" fontId="15" fillId="3" borderId="5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center"/>
    </xf>
    <xf numFmtId="0" fontId="15" fillId="0" borderId="0" xfId="0" applyFont="1" applyAlignment="1">
      <alignment horizontal="left" vertical="top" wrapText="1"/>
    </xf>
    <xf numFmtId="14" fontId="24" fillId="4" borderId="22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left" vertical="center" wrapText="1"/>
    </xf>
    <xf numFmtId="14" fontId="15" fillId="3" borderId="0" xfId="0" applyNumberFormat="1" applyFont="1" applyFill="1" applyAlignment="1">
      <alignment horizontal="left" vertical="top" wrapText="1"/>
    </xf>
    <xf numFmtId="14" fontId="14" fillId="4" borderId="22" xfId="0" applyNumberFormat="1" applyFont="1" applyFill="1" applyBorder="1" applyAlignment="1">
      <alignment horizontal="center" vertical="center" wrapText="1"/>
    </xf>
    <xf numFmtId="14" fontId="15" fillId="3" borderId="40" xfId="0" applyNumberFormat="1" applyFont="1" applyFill="1" applyBorder="1" applyAlignment="1">
      <alignment horizontal="left" vertical="center" wrapText="1"/>
    </xf>
    <xf numFmtId="14" fontId="15" fillId="3" borderId="2" xfId="0" applyNumberFormat="1" applyFont="1" applyFill="1" applyBorder="1" applyAlignment="1">
      <alignment horizontal="left" vertical="center" wrapText="1"/>
    </xf>
    <xf numFmtId="14" fontId="15" fillId="3" borderId="33" xfId="0" applyNumberFormat="1" applyFont="1" applyFill="1" applyBorder="1" applyAlignment="1">
      <alignment horizontal="left" vertical="center" wrapText="1"/>
    </xf>
    <xf numFmtId="4" fontId="17" fillId="3" borderId="38" xfId="0" applyNumberFormat="1" applyFont="1" applyFill="1" applyBorder="1" applyAlignment="1">
      <alignment horizontal="center" vertical="center"/>
    </xf>
    <xf numFmtId="4" fontId="17" fillId="3" borderId="37" xfId="0" applyNumberFormat="1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left" wrapText="1" shrinkToFit="1"/>
    </xf>
    <xf numFmtId="0" fontId="17" fillId="4" borderId="48" xfId="0" applyFont="1" applyFill="1" applyBorder="1" applyAlignment="1">
      <alignment horizontal="left" wrapText="1" shrinkToFit="1"/>
    </xf>
    <xf numFmtId="0" fontId="17" fillId="4" borderId="36" xfId="0" applyFont="1" applyFill="1" applyBorder="1" applyAlignment="1">
      <alignment horizontal="left" wrapText="1" shrinkToFit="1"/>
    </xf>
    <xf numFmtId="0" fontId="17" fillId="4" borderId="34" xfId="0" applyFont="1" applyFill="1" applyBorder="1" applyAlignment="1">
      <alignment horizontal="left" wrapText="1" shrinkToFit="1"/>
    </xf>
    <xf numFmtId="0" fontId="17" fillId="4" borderId="2" xfId="0" applyFont="1" applyFill="1" applyBorder="1" applyAlignment="1">
      <alignment horizontal="left" wrapText="1" shrinkToFit="1"/>
    </xf>
    <xf numFmtId="0" fontId="17" fillId="4" borderId="45" xfId="0" applyFont="1" applyFill="1" applyBorder="1" applyAlignment="1">
      <alignment horizontal="left" wrapText="1" shrinkToFit="1"/>
    </xf>
    <xf numFmtId="0" fontId="17" fillId="4" borderId="56" xfId="0" applyFont="1" applyFill="1" applyBorder="1" applyAlignment="1">
      <alignment horizontal="left" vertical="center" wrapText="1" shrinkToFit="1"/>
    </xf>
    <xf numFmtId="0" fontId="17" fillId="4" borderId="48" xfId="0" applyFont="1" applyFill="1" applyBorder="1" applyAlignment="1">
      <alignment horizontal="left" vertical="center" wrapText="1" shrinkToFit="1"/>
    </xf>
    <xf numFmtId="0" fontId="17" fillId="4" borderId="36" xfId="0" applyFont="1" applyFill="1" applyBorder="1" applyAlignment="1">
      <alignment horizontal="left" vertical="center" wrapText="1" shrinkToFit="1"/>
    </xf>
    <xf numFmtId="4" fontId="17" fillId="3" borderId="9" xfId="0" applyNumberFormat="1" applyFont="1" applyFill="1" applyBorder="1" applyAlignment="1">
      <alignment horizontal="center" vertical="center"/>
    </xf>
    <xf numFmtId="4" fontId="17" fillId="3" borderId="11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 wrapText="1" shrinkToFit="1"/>
    </xf>
    <xf numFmtId="0" fontId="17" fillId="4" borderId="5" xfId="0" applyFont="1" applyFill="1" applyBorder="1" applyAlignment="1">
      <alignment horizontal="left" vertical="center" wrapText="1" shrinkToFit="1"/>
    </xf>
    <xf numFmtId="0" fontId="17" fillId="4" borderId="6" xfId="0" applyFont="1" applyFill="1" applyBorder="1" applyAlignment="1">
      <alignment horizontal="left" vertical="center" wrapText="1" shrinkToFit="1"/>
    </xf>
    <xf numFmtId="0" fontId="17" fillId="4" borderId="7" xfId="0" applyFont="1" applyFill="1" applyBorder="1" applyAlignment="1">
      <alignment horizontal="left" vertical="center" wrapText="1" shrinkToFit="1"/>
    </xf>
    <xf numFmtId="0" fontId="17" fillId="4" borderId="1" xfId="0" applyFont="1" applyFill="1" applyBorder="1" applyAlignment="1">
      <alignment horizontal="left" vertical="center" wrapText="1" shrinkToFit="1"/>
    </xf>
    <xf numFmtId="0" fontId="17" fillId="4" borderId="8" xfId="0" applyFont="1" applyFill="1" applyBorder="1" applyAlignment="1">
      <alignment horizontal="left" vertical="center" wrapText="1" shrinkToFit="1"/>
    </xf>
    <xf numFmtId="0" fontId="18" fillId="4" borderId="16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4" fontId="17" fillId="3" borderId="7" xfId="0" applyNumberFormat="1" applyFont="1" applyFill="1" applyBorder="1" applyAlignment="1">
      <alignment horizontal="center" vertical="center"/>
    </xf>
    <xf numFmtId="4" fontId="17" fillId="3" borderId="8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left" wrapText="1" shrinkToFit="1"/>
    </xf>
    <xf numFmtId="0" fontId="17" fillId="4" borderId="23" xfId="0" applyFont="1" applyFill="1" applyBorder="1" applyAlignment="1">
      <alignment horizontal="left" wrapText="1" shrinkToFit="1"/>
    </xf>
    <xf numFmtId="0" fontId="17" fillId="4" borderId="17" xfId="0" applyFont="1" applyFill="1" applyBorder="1" applyAlignment="1">
      <alignment horizontal="left" wrapText="1" shrinkToFit="1"/>
    </xf>
    <xf numFmtId="0" fontId="17" fillId="4" borderId="19" xfId="0" applyFont="1" applyFill="1" applyBorder="1" applyAlignment="1">
      <alignment horizontal="left" wrapText="1" shrinkToFit="1"/>
    </xf>
    <xf numFmtId="0" fontId="17" fillId="4" borderId="0" xfId="0" applyFont="1" applyFill="1" applyAlignment="1">
      <alignment horizontal="left" wrapText="1" shrinkToFit="1"/>
    </xf>
    <xf numFmtId="0" fontId="17" fillId="4" borderId="20" xfId="0" applyFont="1" applyFill="1" applyBorder="1" applyAlignment="1">
      <alignment horizontal="left" wrapText="1" shrinkToFit="1"/>
    </xf>
    <xf numFmtId="0" fontId="17" fillId="4" borderId="21" xfId="0" applyFont="1" applyFill="1" applyBorder="1" applyAlignment="1">
      <alignment horizontal="left" wrapText="1" shrinkToFit="1"/>
    </xf>
    <xf numFmtId="0" fontId="17" fillId="4" borderId="24" xfId="0" applyFont="1" applyFill="1" applyBorder="1" applyAlignment="1">
      <alignment horizontal="left" wrapText="1" shrinkToFit="1"/>
    </xf>
    <xf numFmtId="0" fontId="17" fillId="4" borderId="22" xfId="0" applyFont="1" applyFill="1" applyBorder="1" applyAlignment="1">
      <alignment horizontal="left" wrapText="1" shrinkToFit="1"/>
    </xf>
    <xf numFmtId="14" fontId="18" fillId="4" borderId="21" xfId="0" applyNumberFormat="1" applyFont="1" applyFill="1" applyBorder="1" applyAlignment="1">
      <alignment horizontal="center"/>
    </xf>
    <xf numFmtId="14" fontId="18" fillId="4" borderId="22" xfId="0" applyNumberFormat="1" applyFont="1" applyFill="1" applyBorder="1" applyAlignment="1">
      <alignment horizontal="center"/>
    </xf>
    <xf numFmtId="4" fontId="17" fillId="3" borderId="51" xfId="0" applyNumberFormat="1" applyFont="1" applyFill="1" applyBorder="1" applyAlignment="1">
      <alignment horizontal="center" vertical="center"/>
    </xf>
    <xf numFmtId="4" fontId="17" fillId="3" borderId="53" xfId="0" applyNumberFormat="1" applyFont="1" applyFill="1" applyBorder="1" applyAlignment="1">
      <alignment horizontal="center" vertical="center"/>
    </xf>
    <xf numFmtId="4" fontId="17" fillId="3" borderId="18" xfId="0" applyNumberFormat="1" applyFont="1" applyFill="1" applyBorder="1" applyAlignment="1">
      <alignment horizontal="center" vertical="center"/>
    </xf>
    <xf numFmtId="4" fontId="17" fillId="3" borderId="35" xfId="0" applyNumberFormat="1" applyFont="1" applyFill="1" applyBorder="1" applyAlignment="1">
      <alignment horizontal="center" vertical="center"/>
    </xf>
    <xf numFmtId="4" fontId="17" fillId="0" borderId="56" xfId="0" applyNumberFormat="1" applyFont="1" applyBorder="1" applyAlignment="1">
      <alignment horizontal="center"/>
    </xf>
    <xf numFmtId="4" fontId="17" fillId="0" borderId="36" xfId="0" applyNumberFormat="1" applyFont="1" applyBorder="1" applyAlignment="1">
      <alignment horizontal="center"/>
    </xf>
    <xf numFmtId="14" fontId="18" fillId="4" borderId="21" xfId="0" applyNumberFormat="1" applyFont="1" applyFill="1" applyBorder="1" applyAlignment="1">
      <alignment horizontal="center" vertical="center"/>
    </xf>
    <xf numFmtId="14" fontId="18" fillId="4" borderId="22" xfId="0" applyNumberFormat="1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37" fillId="4" borderId="51" xfId="709" applyFont="1" applyFill="1" applyBorder="1" applyAlignment="1">
      <alignment horizontal="center"/>
    </xf>
    <xf numFmtId="0" fontId="37" fillId="4" borderId="52" xfId="709" applyFont="1" applyFill="1" applyBorder="1" applyAlignment="1">
      <alignment horizontal="center"/>
    </xf>
    <xf numFmtId="0" fontId="37" fillId="4" borderId="53" xfId="709" applyFont="1" applyFill="1" applyBorder="1" applyAlignment="1">
      <alignment horizontal="center"/>
    </xf>
    <xf numFmtId="4" fontId="17" fillId="0" borderId="13" xfId="0" applyNumberFormat="1" applyFont="1" applyBorder="1" applyAlignment="1">
      <alignment horizontal="center"/>
    </xf>
    <xf numFmtId="4" fontId="17" fillId="0" borderId="15" xfId="0" applyNumberFormat="1" applyFont="1" applyBorder="1" applyAlignment="1">
      <alignment horizontal="center"/>
    </xf>
    <xf numFmtId="14" fontId="18" fillId="4" borderId="24" xfId="0" applyNumberFormat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left"/>
    </xf>
    <xf numFmtId="0" fontId="17" fillId="4" borderId="48" xfId="0" applyFont="1" applyFill="1" applyBorder="1" applyAlignment="1">
      <alignment horizontal="left"/>
    </xf>
    <xf numFmtId="0" fontId="17" fillId="4" borderId="36" xfId="0" applyFont="1" applyFill="1" applyBorder="1" applyAlignment="1">
      <alignment horizontal="left"/>
    </xf>
    <xf numFmtId="4" fontId="17" fillId="0" borderId="24" xfId="0" applyNumberFormat="1" applyFont="1" applyBorder="1" applyAlignment="1">
      <alignment horizontal="center"/>
    </xf>
    <xf numFmtId="4" fontId="17" fillId="0" borderId="22" xfId="0" applyNumberFormat="1" applyFont="1" applyBorder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left"/>
    </xf>
    <xf numFmtId="0" fontId="17" fillId="4" borderId="15" xfId="0" applyFont="1" applyFill="1" applyBorder="1" applyAlignment="1">
      <alignment horizontal="left"/>
    </xf>
    <xf numFmtId="0" fontId="17" fillId="4" borderId="16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  <xf numFmtId="4" fontId="17" fillId="3" borderId="4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/>
    </xf>
    <xf numFmtId="4" fontId="17" fillId="0" borderId="44" xfId="0" applyNumberFormat="1" applyFont="1" applyBorder="1" applyAlignment="1">
      <alignment horizontal="center"/>
    </xf>
    <xf numFmtId="4" fontId="17" fillId="0" borderId="27" xfId="0" applyNumberFormat="1" applyFont="1" applyBorder="1" applyAlignment="1">
      <alignment horizontal="center"/>
    </xf>
    <xf numFmtId="0" fontId="76" fillId="4" borderId="21" xfId="709" applyFont="1" applyFill="1" applyBorder="1" applyAlignment="1">
      <alignment horizontal="center" vertical="center" wrapText="1"/>
    </xf>
    <xf numFmtId="0" fontId="76" fillId="4" borderId="24" xfId="709" applyFont="1" applyFill="1" applyBorder="1" applyAlignment="1">
      <alignment horizontal="center" vertical="center" wrapText="1"/>
    </xf>
    <xf numFmtId="0" fontId="76" fillId="4" borderId="22" xfId="709" applyFont="1" applyFill="1" applyBorder="1" applyAlignment="1">
      <alignment horizontal="center" vertical="center" wrapText="1"/>
    </xf>
    <xf numFmtId="2" fontId="17" fillId="0" borderId="20" xfId="0" applyNumberFormat="1" applyFont="1" applyBorder="1" applyAlignment="1">
      <alignment horizontal="center"/>
    </xf>
    <xf numFmtId="2" fontId="17" fillId="0" borderId="45" xfId="0" applyNumberFormat="1" applyFont="1" applyBorder="1" applyAlignment="1">
      <alignment horizontal="center"/>
    </xf>
    <xf numFmtId="0" fontId="74" fillId="4" borderId="51" xfId="709" applyFont="1" applyFill="1" applyBorder="1" applyAlignment="1">
      <alignment horizontal="center" vertical="center"/>
    </xf>
    <xf numFmtId="0" fontId="74" fillId="4" borderId="52" xfId="709" applyFont="1" applyFill="1" applyBorder="1" applyAlignment="1">
      <alignment horizontal="center" vertical="center"/>
    </xf>
    <xf numFmtId="0" fontId="74" fillId="4" borderId="53" xfId="709" applyFont="1" applyFill="1" applyBorder="1" applyAlignment="1">
      <alignment horizontal="center" vertical="center"/>
    </xf>
    <xf numFmtId="0" fontId="41" fillId="4" borderId="51" xfId="709" applyFont="1" applyFill="1" applyBorder="1" applyAlignment="1" applyProtection="1">
      <alignment horizontal="center" vertical="center" wrapText="1"/>
      <protection locked="0"/>
    </xf>
    <xf numFmtId="0" fontId="41" fillId="4" borderId="53" xfId="709" applyFont="1" applyFill="1" applyBorder="1" applyAlignment="1" applyProtection="1">
      <alignment horizontal="center" vertical="center" wrapText="1"/>
      <protection locked="0"/>
    </xf>
    <xf numFmtId="4" fontId="17" fillId="0" borderId="54" xfId="0" applyNumberFormat="1" applyFont="1" applyBorder="1" applyAlignment="1">
      <alignment horizontal="center"/>
    </xf>
    <xf numFmtId="4" fontId="17" fillId="0" borderId="46" xfId="0" applyNumberFormat="1" applyFont="1" applyBorder="1" applyAlignment="1">
      <alignment horizontal="center"/>
    </xf>
    <xf numFmtId="0" fontId="17" fillId="4" borderId="19" xfId="0" applyFont="1" applyFill="1" applyBorder="1" applyAlignment="1">
      <alignment horizontal="left" vertical="top" wrapText="1" shrinkToFit="1"/>
    </xf>
    <xf numFmtId="0" fontId="17" fillId="4" borderId="0" xfId="0" applyFont="1" applyFill="1" applyAlignment="1">
      <alignment horizontal="left" vertical="top" wrapText="1" shrinkToFit="1"/>
    </xf>
    <xf numFmtId="0" fontId="17" fillId="4" borderId="34" xfId="0" applyFont="1" applyFill="1" applyBorder="1" applyAlignment="1">
      <alignment horizontal="left" vertical="top" wrapText="1" shrinkToFit="1"/>
    </xf>
    <xf numFmtId="0" fontId="17" fillId="4" borderId="2" xfId="0" applyFont="1" applyFill="1" applyBorder="1" applyAlignment="1">
      <alignment horizontal="left" vertical="top" wrapText="1" shrinkToFit="1"/>
    </xf>
    <xf numFmtId="0" fontId="40" fillId="0" borderId="23" xfId="709" applyBorder="1" applyAlignment="1">
      <alignment horizontal="center"/>
    </xf>
    <xf numFmtId="4" fontId="17" fillId="3" borderId="33" xfId="0" applyNumberFormat="1" applyFont="1" applyFill="1" applyBorder="1" applyAlignment="1">
      <alignment horizontal="center" vertical="center"/>
    </xf>
    <xf numFmtId="4" fontId="17" fillId="3" borderId="40" xfId="0" applyNumberFormat="1" applyFont="1" applyFill="1" applyBorder="1" applyAlignment="1">
      <alignment horizontal="center" vertical="center"/>
    </xf>
    <xf numFmtId="4" fontId="17" fillId="3" borderId="13" xfId="0" applyNumberFormat="1" applyFont="1" applyFill="1" applyBorder="1" applyAlignment="1">
      <alignment horizontal="center" vertical="center"/>
    </xf>
    <xf numFmtId="4" fontId="17" fillId="3" borderId="15" xfId="0" applyNumberFormat="1" applyFont="1" applyFill="1" applyBorder="1" applyAlignment="1">
      <alignment horizontal="center" vertical="center"/>
    </xf>
    <xf numFmtId="49" fontId="18" fillId="4" borderId="21" xfId="0" applyNumberFormat="1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24" fillId="4" borderId="21" xfId="0" applyFont="1" applyFill="1" applyBorder="1" applyAlignment="1">
      <alignment horizontal="center"/>
    </xf>
    <xf numFmtId="0" fontId="24" fillId="4" borderId="24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41" fillId="4" borderId="51" xfId="709" applyFont="1" applyFill="1" applyBorder="1" applyAlignment="1">
      <alignment horizontal="center" vertical="center" wrapText="1"/>
    </xf>
    <xf numFmtId="0" fontId="41" fillId="4" borderId="53" xfId="709" applyFont="1" applyFill="1" applyBorder="1" applyAlignment="1">
      <alignment horizontal="center" vertical="center" wrapText="1"/>
    </xf>
    <xf numFmtId="0" fontId="41" fillId="4" borderId="51" xfId="709" applyFont="1" applyFill="1" applyBorder="1" applyAlignment="1" applyProtection="1">
      <alignment horizontal="center" vertical="center"/>
      <protection locked="0"/>
    </xf>
    <xf numFmtId="0" fontId="41" fillId="4" borderId="52" xfId="709" applyFont="1" applyFill="1" applyBorder="1" applyAlignment="1" applyProtection="1">
      <alignment horizontal="center" vertical="center"/>
      <protection locked="0"/>
    </xf>
    <xf numFmtId="0" fontId="41" fillId="4" borderId="53" xfId="709" applyFont="1" applyFill="1" applyBorder="1" applyAlignment="1" applyProtection="1">
      <alignment horizontal="center" vertical="center"/>
      <protection locked="0"/>
    </xf>
    <xf numFmtId="0" fontId="41" fillId="4" borderId="51" xfId="709" applyFont="1" applyFill="1" applyBorder="1" applyAlignment="1">
      <alignment horizontal="center" vertical="center"/>
    </xf>
    <xf numFmtId="0" fontId="41" fillId="4" borderId="52" xfId="709" applyFont="1" applyFill="1" applyBorder="1" applyAlignment="1">
      <alignment horizontal="center" vertical="center"/>
    </xf>
    <xf numFmtId="0" fontId="41" fillId="4" borderId="53" xfId="709" applyFont="1" applyFill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/>
    </xf>
    <xf numFmtId="0" fontId="18" fillId="4" borderId="58" xfId="0" applyFont="1" applyFill="1" applyBorder="1" applyAlignment="1">
      <alignment horizontal="center"/>
    </xf>
    <xf numFmtId="0" fontId="18" fillId="4" borderId="59" xfId="0" applyFont="1" applyFill="1" applyBorder="1" applyAlignment="1">
      <alignment horizontal="center"/>
    </xf>
    <xf numFmtId="14" fontId="18" fillId="4" borderId="31" xfId="0" applyNumberFormat="1" applyFont="1" applyFill="1" applyBorder="1" applyAlignment="1">
      <alignment horizontal="center"/>
    </xf>
    <xf numFmtId="14" fontId="18" fillId="4" borderId="55" xfId="0" applyNumberFormat="1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wrapText="1" shrinkToFit="1"/>
    </xf>
    <xf numFmtId="0" fontId="17" fillId="0" borderId="52" xfId="0" applyFont="1" applyBorder="1" applyAlignment="1">
      <alignment horizontal="center" wrapText="1" shrinkToFit="1"/>
    </xf>
    <xf numFmtId="0" fontId="17" fillId="0" borderId="53" xfId="0" applyFont="1" applyBorder="1" applyAlignment="1">
      <alignment horizontal="center" wrapText="1" shrinkToFit="1"/>
    </xf>
    <xf numFmtId="0" fontId="63" fillId="4" borderId="44" xfId="709" applyFont="1" applyFill="1" applyBorder="1" applyAlignment="1">
      <alignment horizontal="left"/>
    </xf>
    <xf numFmtId="0" fontId="63" fillId="4" borderId="47" xfId="709" applyFont="1" applyFill="1" applyBorder="1" applyAlignment="1">
      <alignment horizontal="left"/>
    </xf>
    <xf numFmtId="0" fontId="63" fillId="4" borderId="56" xfId="709" applyFont="1" applyFill="1" applyBorder="1" applyAlignment="1">
      <alignment horizontal="left"/>
    </xf>
    <xf numFmtId="0" fontId="63" fillId="4" borderId="48" xfId="709" applyFont="1" applyFill="1" applyBorder="1" applyAlignment="1">
      <alignment horizontal="left"/>
    </xf>
    <xf numFmtId="0" fontId="17" fillId="4" borderId="13" xfId="0" applyFont="1" applyFill="1" applyBorder="1" applyAlignment="1">
      <alignment horizontal="left" wrapText="1" shrinkToFit="1"/>
    </xf>
    <xf numFmtId="0" fontId="17" fillId="4" borderId="14" xfId="0" applyFont="1" applyFill="1" applyBorder="1" applyAlignment="1">
      <alignment horizontal="left" wrapText="1" shrinkToFit="1"/>
    </xf>
    <xf numFmtId="0" fontId="17" fillId="4" borderId="44" xfId="0" applyFont="1" applyFill="1" applyBorder="1" applyAlignment="1">
      <alignment horizontal="left" wrapText="1" shrinkToFit="1"/>
    </xf>
    <xf numFmtId="0" fontId="17" fillId="4" borderId="47" xfId="0" applyFont="1" applyFill="1" applyBorder="1" applyAlignment="1">
      <alignment horizontal="left" wrapText="1" shrinkToFit="1"/>
    </xf>
    <xf numFmtId="0" fontId="17" fillId="4" borderId="9" xfId="0" applyFont="1" applyFill="1" applyBorder="1" applyAlignment="1">
      <alignment horizontal="left" vertical="center" wrapText="1" shrinkToFit="1"/>
    </xf>
    <xf numFmtId="0" fontId="17" fillId="4" borderId="10" xfId="0" applyFont="1" applyFill="1" applyBorder="1" applyAlignment="1">
      <alignment horizontal="left" vertical="center" wrapText="1" shrinkToFit="1"/>
    </xf>
    <xf numFmtId="0" fontId="17" fillId="4" borderId="11" xfId="0" applyFont="1" applyFill="1" applyBorder="1" applyAlignment="1">
      <alignment horizontal="left" vertical="center" wrapText="1" shrinkToFit="1"/>
    </xf>
    <xf numFmtId="0" fontId="15" fillId="4" borderId="28" xfId="0" applyFont="1" applyFill="1" applyBorder="1" applyAlignment="1">
      <alignment horizontal="left" vertical="center" wrapText="1" shrinkToFit="1"/>
    </xf>
    <xf numFmtId="0" fontId="15" fillId="4" borderId="29" xfId="0" applyFont="1" applyFill="1" applyBorder="1" applyAlignment="1">
      <alignment horizontal="left" vertical="center" wrapText="1" shrinkToFit="1"/>
    </xf>
    <xf numFmtId="0" fontId="15" fillId="4" borderId="30" xfId="0" applyFont="1" applyFill="1" applyBorder="1" applyAlignment="1">
      <alignment horizontal="left" vertical="center" wrapText="1" shrinkToFit="1"/>
    </xf>
    <xf numFmtId="0" fontId="15" fillId="4" borderId="34" xfId="0" applyFont="1" applyFill="1" applyBorder="1" applyAlignment="1">
      <alignment horizontal="left" vertical="center" wrapText="1" shrinkToFit="1"/>
    </xf>
    <xf numFmtId="0" fontId="15" fillId="4" borderId="2" xfId="0" applyFont="1" applyFill="1" applyBorder="1" applyAlignment="1">
      <alignment horizontal="left" vertical="center" wrapText="1" shrinkToFit="1"/>
    </xf>
    <xf numFmtId="0" fontId="15" fillId="4" borderId="45" xfId="0" applyFont="1" applyFill="1" applyBorder="1" applyAlignment="1">
      <alignment horizontal="left" vertical="center" wrapText="1" shrinkToFit="1"/>
    </xf>
    <xf numFmtId="0" fontId="15" fillId="4" borderId="56" xfId="0" applyFont="1" applyFill="1" applyBorder="1" applyAlignment="1">
      <alignment horizontal="left" vertical="center" wrapText="1" shrinkToFit="1"/>
    </xf>
    <xf numFmtId="0" fontId="15" fillId="4" borderId="48" xfId="0" applyFont="1" applyFill="1" applyBorder="1" applyAlignment="1">
      <alignment horizontal="left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15" fillId="4" borderId="29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44" xfId="0" applyFont="1" applyFill="1" applyBorder="1" applyAlignment="1">
      <alignment horizontal="left" vertical="center" wrapText="1" shrinkToFit="1"/>
    </xf>
    <xf numFmtId="0" fontId="15" fillId="4" borderId="47" xfId="0" applyFont="1" applyFill="1" applyBorder="1" applyAlignment="1">
      <alignment horizontal="left" vertical="center" wrapText="1" shrinkToFit="1"/>
    </xf>
    <xf numFmtId="0" fontId="14" fillId="4" borderId="28" xfId="0" applyFont="1" applyFill="1" applyBorder="1" applyAlignment="1">
      <alignment horizontal="left" vertical="center" wrapText="1" shrinkToFit="1"/>
    </xf>
    <xf numFmtId="0" fontId="14" fillId="4" borderId="29" xfId="0" applyFont="1" applyFill="1" applyBorder="1" applyAlignment="1">
      <alignment horizontal="left" vertical="center" wrapText="1" shrinkToFit="1"/>
    </xf>
    <xf numFmtId="0" fontId="14" fillId="4" borderId="30" xfId="0" applyFont="1" applyFill="1" applyBorder="1" applyAlignment="1">
      <alignment horizontal="left" vertical="center" wrapText="1" shrinkToFit="1"/>
    </xf>
    <xf numFmtId="0" fontId="14" fillId="4" borderId="34" xfId="0" applyFont="1" applyFill="1" applyBorder="1" applyAlignment="1">
      <alignment horizontal="left" vertical="center" wrapText="1" shrinkToFit="1"/>
    </xf>
    <xf numFmtId="0" fontId="14" fillId="4" borderId="2" xfId="0" applyFont="1" applyFill="1" applyBorder="1" applyAlignment="1">
      <alignment horizontal="left" vertical="center" wrapText="1" shrinkToFit="1"/>
    </xf>
    <xf numFmtId="0" fontId="14" fillId="4" borderId="45" xfId="0" applyFont="1" applyFill="1" applyBorder="1" applyAlignment="1">
      <alignment horizontal="left" vertical="center" wrapText="1" shrinkToFit="1"/>
    </xf>
    <xf numFmtId="0" fontId="39" fillId="4" borderId="44" xfId="709" applyFont="1" applyFill="1" applyBorder="1" applyAlignment="1">
      <alignment horizontal="left"/>
    </xf>
    <xf numFmtId="0" fontId="39" fillId="4" borderId="47" xfId="709" applyFont="1" applyFill="1" applyBorder="1" applyAlignment="1">
      <alignment horizontal="left"/>
    </xf>
    <xf numFmtId="0" fontId="24" fillId="4" borderId="19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4" borderId="20" xfId="0" applyFont="1" applyFill="1" applyBorder="1" applyAlignment="1">
      <alignment horizontal="center" wrapText="1"/>
    </xf>
    <xf numFmtId="0" fontId="37" fillId="4" borderId="16" xfId="709" applyFont="1" applyFill="1" applyBorder="1" applyAlignment="1">
      <alignment horizontal="center"/>
    </xf>
    <xf numFmtId="0" fontId="37" fillId="4" borderId="23" xfId="709" applyFont="1" applyFill="1" applyBorder="1" applyAlignment="1">
      <alignment horizontal="center"/>
    </xf>
    <xf numFmtId="0" fontId="37" fillId="4" borderId="17" xfId="709" applyFont="1" applyFill="1" applyBorder="1" applyAlignment="1">
      <alignment horizontal="center"/>
    </xf>
    <xf numFmtId="0" fontId="46" fillId="0" borderId="0" xfId="709" applyFont="1" applyAlignment="1">
      <alignment horizontal="center"/>
    </xf>
    <xf numFmtId="0" fontId="47" fillId="0" borderId="0" xfId="709" applyFont="1" applyAlignment="1">
      <alignment horizontal="center"/>
    </xf>
    <xf numFmtId="0" fontId="15" fillId="4" borderId="9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horizontal="left" vertical="center" wrapText="1" shrinkToFit="1"/>
    </xf>
    <xf numFmtId="0" fontId="15" fillId="4" borderId="7" xfId="0" applyFont="1" applyFill="1" applyBorder="1" applyAlignment="1">
      <alignment horizontal="left" vertical="center" wrapText="1" shrinkToFit="1"/>
    </xf>
    <xf numFmtId="0" fontId="15" fillId="4" borderId="1" xfId="0" applyFont="1" applyFill="1" applyBorder="1" applyAlignment="1">
      <alignment horizontal="left" vertical="center" wrapText="1" shrinkToFit="1"/>
    </xf>
    <xf numFmtId="0" fontId="15" fillId="3" borderId="61" xfId="0" applyFont="1" applyFill="1" applyBorder="1" applyAlignment="1">
      <alignment horizontal="left" vertical="center" wrapText="1"/>
    </xf>
    <xf numFmtId="0" fontId="41" fillId="0" borderId="0" xfId="709" applyFont="1" applyAlignment="1">
      <alignment horizontal="center"/>
    </xf>
    <xf numFmtId="0" fontId="48" fillId="0" borderId="0" xfId="709" applyFont="1" applyAlignment="1">
      <alignment horizontal="left" vertical="center" wrapText="1"/>
    </xf>
    <xf numFmtId="0" fontId="39" fillId="0" borderId="0" xfId="709" applyFont="1" applyAlignment="1">
      <alignment horizontal="left" vertical="top" wrapText="1"/>
    </xf>
    <xf numFmtId="0" fontId="48" fillId="0" borderId="0" xfId="709" applyFont="1" applyAlignment="1">
      <alignment horizontal="left" vertical="top" wrapText="1"/>
    </xf>
    <xf numFmtId="0" fontId="14" fillId="3" borderId="0" xfId="0" applyFont="1" applyFill="1" applyAlignment="1">
      <alignment horizontal="center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61" xfId="0" applyFont="1" applyFill="1" applyBorder="1" applyAlignment="1">
      <alignment horizontal="left" vertical="center" wrapText="1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164" fontId="40" fillId="0" borderId="68" xfId="80" applyFont="1" applyBorder="1" applyAlignment="1">
      <alignment horizontal="center" vertical="center" wrapText="1"/>
    </xf>
    <xf numFmtId="164" fontId="40" fillId="0" borderId="46" xfId="80" applyFont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left" vertical="center" wrapText="1" shrinkToFit="1"/>
    </xf>
    <xf numFmtId="164" fontId="40" fillId="0" borderId="43" xfId="80" applyFont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left"/>
    </xf>
    <xf numFmtId="0" fontId="17" fillId="4" borderId="52" xfId="0" applyFont="1" applyFill="1" applyBorder="1" applyAlignment="1">
      <alignment horizontal="left"/>
    </xf>
    <xf numFmtId="0" fontId="17" fillId="4" borderId="53" xfId="0" applyFont="1" applyFill="1" applyBorder="1" applyAlignment="1">
      <alignment horizontal="left"/>
    </xf>
    <xf numFmtId="4" fontId="13" fillId="0" borderId="52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4" fontId="13" fillId="0" borderId="51" xfId="0" applyNumberFormat="1" applyFont="1" applyBorder="1" applyAlignment="1">
      <alignment horizontal="center"/>
    </xf>
    <xf numFmtId="0" fontId="73" fillId="4" borderId="19" xfId="709" applyFont="1" applyFill="1" applyBorder="1" applyAlignment="1">
      <alignment horizontal="center" wrapText="1"/>
    </xf>
    <xf numFmtId="0" fontId="73" fillId="4" borderId="0" xfId="709" applyFont="1" applyFill="1" applyAlignment="1">
      <alignment horizontal="center" wrapText="1"/>
    </xf>
    <xf numFmtId="0" fontId="73" fillId="4" borderId="20" xfId="709" applyFont="1" applyFill="1" applyBorder="1" applyAlignment="1">
      <alignment horizontal="center" wrapText="1"/>
    </xf>
    <xf numFmtId="0" fontId="73" fillId="4" borderId="21" xfId="709" applyFont="1" applyFill="1" applyBorder="1" applyAlignment="1">
      <alignment horizontal="center" wrapText="1"/>
    </xf>
    <xf numFmtId="0" fontId="73" fillId="4" borderId="24" xfId="709" applyFont="1" applyFill="1" applyBorder="1" applyAlignment="1">
      <alignment horizontal="center" wrapText="1"/>
    </xf>
    <xf numFmtId="0" fontId="73" fillId="4" borderId="22" xfId="709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23" xfId="0" applyFont="1" applyFill="1" applyBorder="1" applyAlignment="1">
      <alignment horizontal="center" vertical="center" wrapText="1" shrinkToFit="1"/>
    </xf>
    <xf numFmtId="0" fontId="15" fillId="4" borderId="17" xfId="0" applyFont="1" applyFill="1" applyBorder="1" applyAlignment="1">
      <alignment horizontal="center" vertical="center" wrapText="1" shrinkToFit="1"/>
    </xf>
    <xf numFmtId="0" fontId="15" fillId="4" borderId="19" xfId="0" applyFont="1" applyFill="1" applyBorder="1" applyAlignment="1">
      <alignment horizontal="left" vertical="center" wrapText="1" shrinkToFit="1"/>
    </xf>
    <xf numFmtId="0" fontId="15" fillId="4" borderId="0" xfId="0" applyFont="1" applyFill="1" applyAlignment="1">
      <alignment horizontal="left" vertical="center" wrapText="1" shrinkToFit="1"/>
    </xf>
    <xf numFmtId="0" fontId="15" fillId="4" borderId="20" xfId="0" applyFont="1" applyFill="1" applyBorder="1" applyAlignment="1">
      <alignment horizontal="left" vertical="center" wrapText="1" shrinkToFit="1"/>
    </xf>
    <xf numFmtId="0" fontId="14" fillId="4" borderId="16" xfId="0" applyFont="1" applyFill="1" applyBorder="1" applyAlignment="1">
      <alignment horizontal="left" vertical="center" wrapText="1" shrinkToFit="1"/>
    </xf>
    <xf numFmtId="0" fontId="14" fillId="4" borderId="2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horizontal="left" vertical="center" wrapText="1" shrinkToFit="1"/>
    </xf>
    <xf numFmtId="0" fontId="14" fillId="4" borderId="19" xfId="0" applyFont="1" applyFill="1" applyBorder="1" applyAlignment="1">
      <alignment horizontal="left" vertical="center" wrapText="1" shrinkToFit="1"/>
    </xf>
    <xf numFmtId="0" fontId="14" fillId="4" borderId="0" xfId="0" applyFont="1" applyFill="1" applyAlignment="1">
      <alignment horizontal="left" vertical="center" wrapText="1" shrinkToFit="1"/>
    </xf>
    <xf numFmtId="0" fontId="14" fillId="4" borderId="20" xfId="0" applyFont="1" applyFill="1" applyBorder="1" applyAlignment="1">
      <alignment horizontal="left" vertical="center" wrapText="1" shrinkToFit="1"/>
    </xf>
    <xf numFmtId="0" fontId="43" fillId="0" borderId="23" xfId="709" applyFont="1" applyBorder="1" applyAlignment="1">
      <alignment horizontal="center"/>
    </xf>
    <xf numFmtId="0" fontId="15" fillId="4" borderId="36" xfId="0" applyFont="1" applyFill="1" applyBorder="1" applyAlignment="1">
      <alignment horizontal="left" vertical="center" wrapText="1" shrinkToFit="1"/>
    </xf>
    <xf numFmtId="0" fontId="15" fillId="0" borderId="1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4" fontId="13" fillId="0" borderId="48" xfId="0" applyNumberFormat="1" applyFont="1" applyBorder="1" applyAlignment="1">
      <alignment horizontal="center"/>
    </xf>
    <xf numFmtId="4" fontId="13" fillId="0" borderId="36" xfId="0" applyNumberFormat="1" applyFont="1" applyBorder="1" applyAlignment="1">
      <alignment horizontal="center"/>
    </xf>
    <xf numFmtId="0" fontId="54" fillId="4" borderId="13" xfId="709" applyFont="1" applyFill="1" applyBorder="1" applyAlignment="1">
      <alignment horizontal="center" vertical="center" wrapText="1"/>
    </xf>
    <xf numFmtId="0" fontId="54" fillId="4" borderId="15" xfId="709" applyFont="1" applyFill="1" applyBorder="1" applyAlignment="1">
      <alignment horizontal="center" vertical="center" wrapText="1"/>
    </xf>
    <xf numFmtId="4" fontId="39" fillId="0" borderId="44" xfId="709" applyNumberFormat="1" applyFont="1" applyBorder="1" applyAlignment="1">
      <alignment horizontal="center" vertical="center" wrapText="1"/>
    </xf>
    <xf numFmtId="4" fontId="39" fillId="0" borderId="27" xfId="709" applyNumberFormat="1" applyFont="1" applyBorder="1" applyAlignment="1">
      <alignment horizontal="center" vertical="center" wrapText="1"/>
    </xf>
    <xf numFmtId="4" fontId="39" fillId="0" borderId="56" xfId="709" applyNumberFormat="1" applyFont="1" applyBorder="1" applyAlignment="1">
      <alignment horizontal="center" vertical="center" wrapText="1"/>
    </xf>
    <xf numFmtId="4" fontId="39" fillId="0" borderId="36" xfId="709" applyNumberFormat="1" applyFont="1" applyBorder="1" applyAlignment="1">
      <alignment horizontal="center" vertical="center" wrapText="1"/>
    </xf>
    <xf numFmtId="0" fontId="65" fillId="4" borderId="21" xfId="709" applyFont="1" applyFill="1" applyBorder="1" applyAlignment="1">
      <alignment horizontal="center" vertical="center" wrapText="1"/>
    </xf>
    <xf numFmtId="0" fontId="65" fillId="4" borderId="24" xfId="709" applyFont="1" applyFill="1" applyBorder="1" applyAlignment="1">
      <alignment horizontal="center" vertical="center" wrapText="1"/>
    </xf>
    <xf numFmtId="0" fontId="65" fillId="4" borderId="22" xfId="709" applyFont="1" applyFill="1" applyBorder="1" applyAlignment="1">
      <alignment horizontal="center" vertical="center" wrapText="1"/>
    </xf>
    <xf numFmtId="0" fontId="48" fillId="0" borderId="0" xfId="709" applyFont="1" applyAlignment="1">
      <alignment horizontal="center"/>
    </xf>
    <xf numFmtId="0" fontId="14" fillId="4" borderId="21" xfId="0" applyFont="1" applyFill="1" applyBorder="1" applyAlignment="1">
      <alignment horizontal="left" vertical="center" wrapText="1" shrinkToFit="1"/>
    </xf>
    <xf numFmtId="0" fontId="14" fillId="4" borderId="24" xfId="0" applyFont="1" applyFill="1" applyBorder="1" applyAlignment="1">
      <alignment horizontal="left" vertical="center" wrapText="1" shrinkToFit="1"/>
    </xf>
    <xf numFmtId="0" fontId="14" fillId="4" borderId="22" xfId="0" applyFont="1" applyFill="1" applyBorder="1" applyAlignment="1">
      <alignment horizontal="left" vertical="center" wrapText="1" shrinkToFit="1"/>
    </xf>
    <xf numFmtId="0" fontId="15" fillId="4" borderId="51" xfId="0" applyFont="1" applyFill="1" applyBorder="1" applyAlignment="1">
      <alignment horizontal="center" vertical="center" wrapText="1" shrinkToFit="1"/>
    </xf>
    <xf numFmtId="0" fontId="15" fillId="4" borderId="52" xfId="0" applyFont="1" applyFill="1" applyBorder="1" applyAlignment="1">
      <alignment horizontal="center" vertical="center" wrapText="1" shrinkToFit="1"/>
    </xf>
    <xf numFmtId="0" fontId="15" fillId="4" borderId="53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left" vertical="center" wrapText="1" shrinkToFit="1"/>
    </xf>
    <xf numFmtId="0" fontId="15" fillId="4" borderId="14" xfId="0" applyFont="1" applyFill="1" applyBorder="1" applyAlignment="1">
      <alignment horizontal="left" vertical="center" wrapText="1" shrinkToFit="1"/>
    </xf>
    <xf numFmtId="0" fontId="39" fillId="4" borderId="51" xfId="709" applyFont="1" applyFill="1" applyBorder="1" applyAlignment="1">
      <alignment horizontal="center"/>
    </xf>
    <xf numFmtId="0" fontId="39" fillId="4" borderId="52" xfId="709" applyFont="1" applyFill="1" applyBorder="1" applyAlignment="1">
      <alignment horizontal="center"/>
    </xf>
    <xf numFmtId="0" fontId="39" fillId="4" borderId="53" xfId="709" applyFont="1" applyFill="1" applyBorder="1" applyAlignment="1">
      <alignment horizontal="center"/>
    </xf>
    <xf numFmtId="0" fontId="12" fillId="4" borderId="5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left" vertical="center"/>
    </xf>
    <xf numFmtId="0" fontId="13" fillId="4" borderId="4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63" fillId="4" borderId="21" xfId="709" applyFont="1" applyFill="1" applyBorder="1" applyAlignment="1">
      <alignment horizontal="center"/>
    </xf>
    <xf numFmtId="0" fontId="63" fillId="4" borderId="24" xfId="709" applyFont="1" applyFill="1" applyBorder="1" applyAlignment="1">
      <alignment horizontal="center"/>
    </xf>
    <xf numFmtId="0" fontId="63" fillId="4" borderId="22" xfId="709" applyFont="1" applyFill="1" applyBorder="1" applyAlignment="1">
      <alignment horizontal="center"/>
    </xf>
    <xf numFmtId="0" fontId="42" fillId="4" borderId="51" xfId="709" applyFont="1" applyFill="1" applyBorder="1" applyAlignment="1">
      <alignment horizontal="center"/>
    </xf>
    <xf numFmtId="0" fontId="42" fillId="4" borderId="52" xfId="709" applyFont="1" applyFill="1" applyBorder="1" applyAlignment="1">
      <alignment horizontal="center"/>
    </xf>
    <xf numFmtId="0" fontId="42" fillId="4" borderId="53" xfId="709" applyFont="1" applyFill="1" applyBorder="1" applyAlignment="1">
      <alignment horizontal="center"/>
    </xf>
    <xf numFmtId="0" fontId="42" fillId="4" borderId="23" xfId="709" applyFont="1" applyFill="1" applyBorder="1" applyAlignment="1">
      <alignment horizontal="center"/>
    </xf>
    <xf numFmtId="0" fontId="42" fillId="4" borderId="17" xfId="709" applyFont="1" applyFill="1" applyBorder="1" applyAlignment="1">
      <alignment horizontal="center"/>
    </xf>
    <xf numFmtId="0" fontId="17" fillId="4" borderId="21" xfId="0" quotePrefix="1" applyFont="1" applyFill="1" applyBorder="1" applyAlignment="1">
      <alignment horizontal="center" vertical="center" wrapText="1"/>
    </xf>
    <xf numFmtId="0" fontId="17" fillId="4" borderId="24" xfId="0" quotePrefix="1" applyFont="1" applyFill="1" applyBorder="1" applyAlignment="1">
      <alignment horizontal="center" vertical="center" wrapText="1"/>
    </xf>
    <xf numFmtId="0" fontId="17" fillId="4" borderId="22" xfId="0" quotePrefix="1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left" vertical="center"/>
    </xf>
    <xf numFmtId="0" fontId="13" fillId="4" borderId="52" xfId="0" applyFont="1" applyFill="1" applyBorder="1" applyAlignment="1">
      <alignment horizontal="left" vertical="center"/>
    </xf>
    <xf numFmtId="0" fontId="13" fillId="4" borderId="53" xfId="0" applyFont="1" applyFill="1" applyBorder="1" applyAlignment="1">
      <alignment horizontal="left" vertical="center"/>
    </xf>
    <xf numFmtId="0" fontId="13" fillId="4" borderId="51" xfId="0" applyFont="1" applyFill="1" applyBorder="1" applyAlignment="1">
      <alignment horizontal="left"/>
    </xf>
    <xf numFmtId="0" fontId="13" fillId="4" borderId="52" xfId="0" applyFont="1" applyFill="1" applyBorder="1" applyAlignment="1">
      <alignment horizontal="left"/>
    </xf>
    <xf numFmtId="0" fontId="13" fillId="4" borderId="53" xfId="0" applyFont="1" applyFill="1" applyBorder="1" applyAlignment="1">
      <alignment horizontal="left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14" fontId="12" fillId="4" borderId="21" xfId="0" applyNumberFormat="1" applyFont="1" applyFill="1" applyBorder="1" applyAlignment="1">
      <alignment horizontal="center" vertical="center"/>
    </xf>
    <xf numFmtId="14" fontId="12" fillId="4" borderId="22" xfId="0" applyNumberFormat="1" applyFont="1" applyFill="1" applyBorder="1" applyAlignment="1">
      <alignment horizontal="center" vertical="center"/>
    </xf>
    <xf numFmtId="2" fontId="13" fillId="3" borderId="51" xfId="0" applyNumberFormat="1" applyFont="1" applyFill="1" applyBorder="1" applyAlignment="1">
      <alignment horizontal="center" vertical="center"/>
    </xf>
    <xf numFmtId="2" fontId="13" fillId="3" borderId="53" xfId="0" applyNumberFormat="1" applyFont="1" applyFill="1" applyBorder="1" applyAlignment="1">
      <alignment horizontal="center" vertical="center"/>
    </xf>
    <xf numFmtId="0" fontId="62" fillId="4" borderId="21" xfId="0" applyFont="1" applyFill="1" applyBorder="1" applyAlignment="1">
      <alignment horizontal="center" wrapText="1"/>
    </xf>
    <xf numFmtId="0" fontId="62" fillId="4" borderId="24" xfId="0" applyFont="1" applyFill="1" applyBorder="1" applyAlignment="1">
      <alignment horizontal="center" wrapText="1"/>
    </xf>
    <xf numFmtId="0" fontId="62" fillId="4" borderId="22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4" fillId="4" borderId="51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 vertical="center"/>
    </xf>
    <xf numFmtId="0" fontId="15" fillId="3" borderId="48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horizontal="center" wrapText="1"/>
    </xf>
    <xf numFmtId="0" fontId="15" fillId="4" borderId="54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64" fontId="15" fillId="0" borderId="47" xfId="80" applyFont="1" applyBorder="1" applyAlignment="1">
      <alignment horizontal="center" vertical="center"/>
    </xf>
    <xf numFmtId="0" fontId="24" fillId="4" borderId="51" xfId="0" applyFont="1" applyFill="1" applyBorder="1" applyAlignment="1">
      <alignment horizontal="center" vertical="center"/>
    </xf>
    <xf numFmtId="0" fontId="24" fillId="4" borderId="52" xfId="0" applyFont="1" applyFill="1" applyBorder="1" applyAlignment="1">
      <alignment horizontal="center" vertical="center"/>
    </xf>
    <xf numFmtId="0" fontId="24" fillId="4" borderId="53" xfId="0" applyFont="1" applyFill="1" applyBorder="1" applyAlignment="1">
      <alignment horizontal="center" vertical="center"/>
    </xf>
    <xf numFmtId="164" fontId="15" fillId="3" borderId="2" xfId="80" applyFont="1" applyFill="1" applyBorder="1" applyAlignment="1">
      <alignment horizontal="center" vertical="center"/>
    </xf>
    <xf numFmtId="164" fontId="15" fillId="0" borderId="44" xfId="80" applyFont="1" applyBorder="1" applyAlignment="1">
      <alignment horizontal="center" vertical="center"/>
    </xf>
    <xf numFmtId="164" fontId="15" fillId="0" borderId="27" xfId="80" applyFont="1" applyBorder="1" applyAlignment="1">
      <alignment horizontal="center" vertical="center"/>
    </xf>
    <xf numFmtId="164" fontId="15" fillId="0" borderId="41" xfId="80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37" fillId="4" borderId="51" xfId="0" applyFont="1" applyFill="1" applyBorder="1" applyAlignment="1">
      <alignment horizontal="center" vertical="center"/>
    </xf>
    <xf numFmtId="0" fontId="37" fillId="4" borderId="52" xfId="0" applyFont="1" applyFill="1" applyBorder="1" applyAlignment="1">
      <alignment horizontal="center" vertical="center"/>
    </xf>
    <xf numFmtId="0" fontId="37" fillId="4" borderId="53" xfId="0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3" borderId="23" xfId="0" applyFont="1" applyFill="1" applyBorder="1" applyAlignment="1">
      <alignment horizontal="left"/>
    </xf>
    <xf numFmtId="164" fontId="15" fillId="0" borderId="13" xfId="80" applyFont="1" applyBorder="1" applyAlignment="1">
      <alignment horizontal="center" vertical="center"/>
    </xf>
    <xf numFmtId="164" fontId="15" fillId="0" borderId="15" xfId="80" applyFont="1" applyBorder="1" applyAlignment="1">
      <alignment horizontal="center" vertical="center"/>
    </xf>
    <xf numFmtId="164" fontId="15" fillId="0" borderId="56" xfId="80" applyFont="1" applyBorder="1" applyAlignment="1">
      <alignment horizontal="center" vertical="center"/>
    </xf>
    <xf numFmtId="164" fontId="15" fillId="0" borderId="36" xfId="80" applyFont="1" applyBorder="1" applyAlignment="1">
      <alignment horizontal="center" vertical="center"/>
    </xf>
    <xf numFmtId="164" fontId="15" fillId="0" borderId="51" xfId="80" applyFont="1" applyBorder="1" applyAlignment="1">
      <alignment horizontal="center" vertical="center"/>
    </xf>
    <xf numFmtId="164" fontId="15" fillId="0" borderId="53" xfId="80" applyFont="1" applyBorder="1" applyAlignment="1">
      <alignment horizontal="center" vertical="center"/>
    </xf>
    <xf numFmtId="0" fontId="69" fillId="3" borderId="23" xfId="0" applyFont="1" applyFill="1" applyBorder="1" applyAlignment="1">
      <alignment horizontal="left"/>
    </xf>
    <xf numFmtId="0" fontId="18" fillId="4" borderId="21" xfId="0" applyFont="1" applyFill="1" applyBorder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4" fontId="15" fillId="4" borderId="21" xfId="0" applyNumberFormat="1" applyFont="1" applyFill="1" applyBorder="1" applyAlignment="1">
      <alignment horizontal="center" vertical="center" wrapText="1"/>
    </xf>
    <xf numFmtId="14" fontId="15" fillId="4" borderId="24" xfId="0" applyNumberFormat="1" applyFont="1" applyFill="1" applyBorder="1" applyAlignment="1">
      <alignment horizontal="center" vertical="center" wrapText="1"/>
    </xf>
    <xf numFmtId="14" fontId="15" fillId="4" borderId="22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70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left" vertical="center"/>
    </xf>
    <xf numFmtId="0" fontId="14" fillId="4" borderId="61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70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32" xfId="0" applyFont="1" applyFill="1" applyBorder="1" applyAlignment="1">
      <alignment horizontal="left" vertical="center" wrapText="1"/>
    </xf>
    <xf numFmtId="2" fontId="13" fillId="3" borderId="60" xfId="0" applyNumberFormat="1" applyFont="1" applyFill="1" applyBorder="1" applyAlignment="1">
      <alignment horizontal="center" vertical="center" wrapText="1"/>
    </xf>
    <xf numFmtId="2" fontId="13" fillId="3" borderId="55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center"/>
    </xf>
    <xf numFmtId="0" fontId="15" fillId="4" borderId="42" xfId="0" applyFont="1" applyFill="1" applyBorder="1" applyAlignment="1">
      <alignment horizontal="center" vertical="center"/>
    </xf>
    <xf numFmtId="4" fontId="19" fillId="3" borderId="14" xfId="0" applyNumberFormat="1" applyFont="1" applyFill="1" applyBorder="1" applyAlignment="1">
      <alignment horizontal="center"/>
    </xf>
    <xf numFmtId="4" fontId="19" fillId="3" borderId="15" xfId="0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4" fontId="19" fillId="3" borderId="2" xfId="0" applyNumberFormat="1" applyFont="1" applyFill="1" applyBorder="1" applyAlignment="1">
      <alignment horizontal="center"/>
    </xf>
    <xf numFmtId="4" fontId="19" fillId="3" borderId="45" xfId="0" applyNumberFormat="1" applyFont="1" applyFill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9" fillId="0" borderId="44" xfId="0" applyNumberFormat="1" applyFont="1" applyBorder="1" applyAlignment="1">
      <alignment horizontal="center"/>
    </xf>
    <xf numFmtId="3" fontId="19" fillId="0" borderId="47" xfId="0" applyNumberFormat="1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4" fontId="19" fillId="3" borderId="24" xfId="0" applyNumberFormat="1" applyFont="1" applyFill="1" applyBorder="1" applyAlignment="1">
      <alignment horizontal="center"/>
    </xf>
    <xf numFmtId="4" fontId="19" fillId="3" borderId="22" xfId="0" applyNumberFormat="1" applyFont="1" applyFill="1" applyBorder="1" applyAlignment="1">
      <alignment horizontal="center"/>
    </xf>
    <xf numFmtId="3" fontId="19" fillId="0" borderId="56" xfId="0" applyNumberFormat="1" applyFont="1" applyBorder="1" applyAlignment="1">
      <alignment horizontal="center"/>
    </xf>
    <xf numFmtId="3" fontId="19" fillId="0" borderId="48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0" fontId="27" fillId="4" borderId="51" xfId="0" applyFont="1" applyFill="1" applyBorder="1" applyAlignment="1">
      <alignment horizontal="center"/>
    </xf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0" fillId="0" borderId="51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15" fillId="3" borderId="44" xfId="0" applyFont="1" applyFill="1" applyBorder="1" applyAlignment="1">
      <alignment horizontal="left"/>
    </xf>
    <xf numFmtId="0" fontId="15" fillId="3" borderId="47" xfId="0" applyFont="1" applyFill="1" applyBorder="1" applyAlignment="1">
      <alignment horizontal="left"/>
    </xf>
    <xf numFmtId="0" fontId="18" fillId="4" borderId="16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14" fontId="19" fillId="3" borderId="44" xfId="0" applyNumberFormat="1" applyFont="1" applyFill="1" applyBorder="1" applyAlignment="1">
      <alignment horizontal="center"/>
    </xf>
    <xf numFmtId="14" fontId="19" fillId="3" borderId="47" xfId="0" applyNumberFormat="1" applyFont="1" applyFill="1" applyBorder="1" applyAlignment="1">
      <alignment horizontal="center"/>
    </xf>
    <xf numFmtId="14" fontId="19" fillId="3" borderId="27" xfId="0" applyNumberFormat="1" applyFont="1" applyFill="1" applyBorder="1" applyAlignment="1">
      <alignment horizontal="center"/>
    </xf>
    <xf numFmtId="0" fontId="53" fillId="3" borderId="0" xfId="0" applyFont="1" applyFill="1" applyAlignment="1">
      <alignment horizontal="left" vertical="center" wrapText="1"/>
    </xf>
    <xf numFmtId="0" fontId="15" fillId="3" borderId="56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15" fillId="3" borderId="44" xfId="0" applyFont="1" applyFill="1" applyBorder="1" applyAlignment="1">
      <alignment horizontal="left" vertical="center"/>
    </xf>
    <xf numFmtId="0" fontId="15" fillId="3" borderId="47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166" fontId="13" fillId="3" borderId="56" xfId="0" applyNumberFormat="1" applyFont="1" applyFill="1" applyBorder="1" applyAlignment="1">
      <alignment horizontal="center"/>
    </xf>
    <xf numFmtId="166" fontId="13" fillId="3" borderId="48" xfId="0" applyNumberFormat="1" applyFont="1" applyFill="1" applyBorder="1" applyAlignment="1">
      <alignment horizontal="center"/>
    </xf>
    <xf numFmtId="166" fontId="13" fillId="3" borderId="36" xfId="0" applyNumberFormat="1" applyFont="1" applyFill="1" applyBorder="1" applyAlignment="1">
      <alignment horizontal="center"/>
    </xf>
    <xf numFmtId="166" fontId="19" fillId="3" borderId="44" xfId="0" applyNumberFormat="1" applyFont="1" applyFill="1" applyBorder="1" applyAlignment="1">
      <alignment horizontal="center"/>
    </xf>
    <xf numFmtId="166" fontId="19" fillId="3" borderId="47" xfId="0" applyNumberFormat="1" applyFont="1" applyFill="1" applyBorder="1" applyAlignment="1">
      <alignment horizontal="center"/>
    </xf>
    <xf numFmtId="166" fontId="19" fillId="3" borderId="27" xfId="0" applyNumberFormat="1" applyFont="1" applyFill="1" applyBorder="1" applyAlignment="1">
      <alignment horizontal="center"/>
    </xf>
    <xf numFmtId="14" fontId="29" fillId="10" borderId="44" xfId="0" applyNumberFormat="1" applyFont="1" applyFill="1" applyBorder="1" applyAlignment="1">
      <alignment horizontal="center"/>
    </xf>
    <xf numFmtId="14" fontId="29" fillId="10" borderId="47" xfId="0" applyNumberFormat="1" applyFont="1" applyFill="1" applyBorder="1" applyAlignment="1">
      <alignment horizontal="center"/>
    </xf>
    <xf numFmtId="14" fontId="29" fillId="10" borderId="27" xfId="0" applyNumberFormat="1" applyFont="1" applyFill="1" applyBorder="1" applyAlignment="1">
      <alignment horizontal="center"/>
    </xf>
    <xf numFmtId="14" fontId="19" fillId="3" borderId="19" xfId="0" applyNumberFormat="1" applyFont="1" applyFill="1" applyBorder="1" applyAlignment="1">
      <alignment horizontal="center"/>
    </xf>
    <xf numFmtId="14" fontId="19" fillId="3" borderId="0" xfId="0" applyNumberFormat="1" applyFont="1" applyFill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166" fontId="19" fillId="3" borderId="19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4" fontId="19" fillId="3" borderId="49" xfId="0" applyNumberFormat="1" applyFont="1" applyFill="1" applyBorder="1" applyAlignment="1">
      <alignment horizontal="center"/>
    </xf>
    <xf numFmtId="166" fontId="13" fillId="3" borderId="49" xfId="0" applyNumberFormat="1" applyFont="1" applyFill="1" applyBorder="1" applyAlignment="1">
      <alignment horizontal="center"/>
    </xf>
    <xf numFmtId="166" fontId="19" fillId="3" borderId="49" xfId="0" applyNumberFormat="1" applyFont="1" applyFill="1" applyBorder="1" applyAlignment="1">
      <alignment horizontal="center"/>
    </xf>
    <xf numFmtId="166" fontId="13" fillId="3" borderId="44" xfId="0" applyNumberFormat="1" applyFont="1" applyFill="1" applyBorder="1" applyAlignment="1">
      <alignment horizontal="center"/>
    </xf>
    <xf numFmtId="166" fontId="13" fillId="3" borderId="47" xfId="0" applyNumberFormat="1" applyFont="1" applyFill="1" applyBorder="1" applyAlignment="1">
      <alignment horizontal="center"/>
    </xf>
    <xf numFmtId="166" fontId="13" fillId="3" borderId="27" xfId="0" applyNumberFormat="1" applyFont="1" applyFill="1" applyBorder="1" applyAlignment="1">
      <alignment horizontal="center"/>
    </xf>
    <xf numFmtId="0" fontId="20" fillId="4" borderId="51" xfId="0" applyFont="1" applyFill="1" applyBorder="1" applyAlignment="1">
      <alignment horizontal="center"/>
    </xf>
    <xf numFmtId="0" fontId="20" fillId="4" borderId="52" xfId="0" applyFont="1" applyFill="1" applyBorder="1" applyAlignment="1">
      <alignment horizontal="center"/>
    </xf>
    <xf numFmtId="0" fontId="20" fillId="4" borderId="53" xfId="0" applyFont="1" applyFill="1" applyBorder="1" applyAlignment="1">
      <alignment horizontal="center"/>
    </xf>
    <xf numFmtId="14" fontId="19" fillId="3" borderId="28" xfId="0" applyNumberFormat="1" applyFont="1" applyFill="1" applyBorder="1" applyAlignment="1">
      <alignment horizontal="center"/>
    </xf>
    <xf numFmtId="14" fontId="19" fillId="3" borderId="29" xfId="0" applyNumberFormat="1" applyFont="1" applyFill="1" applyBorder="1" applyAlignment="1">
      <alignment horizontal="center"/>
    </xf>
    <xf numFmtId="14" fontId="19" fillId="3" borderId="30" xfId="0" applyNumberFormat="1" applyFont="1" applyFill="1" applyBorder="1" applyAlignment="1">
      <alignment horizontal="center"/>
    </xf>
    <xf numFmtId="14" fontId="19" fillId="3" borderId="50" xfId="0" applyNumberFormat="1" applyFont="1" applyFill="1" applyBorder="1" applyAlignment="1">
      <alignment horizontal="center"/>
    </xf>
    <xf numFmtId="0" fontId="39" fillId="3" borderId="44" xfId="709" applyFont="1" applyFill="1" applyBorder="1" applyAlignment="1">
      <alignment horizontal="left"/>
    </xf>
    <xf numFmtId="0" fontId="39" fillId="3" borderId="47" xfId="709" applyFont="1" applyFill="1" applyBorder="1" applyAlignment="1">
      <alignment horizontal="left"/>
    </xf>
    <xf numFmtId="0" fontId="39" fillId="3" borderId="56" xfId="709" applyFont="1" applyFill="1" applyBorder="1" applyAlignment="1">
      <alignment horizontal="left"/>
    </xf>
    <xf numFmtId="0" fontId="39" fillId="3" borderId="48" xfId="709" applyFont="1" applyFill="1" applyBorder="1" applyAlignment="1">
      <alignment horizontal="left"/>
    </xf>
    <xf numFmtId="0" fontId="15" fillId="3" borderId="19" xfId="0" applyFont="1" applyFill="1" applyBorder="1" applyAlignment="1">
      <alignment horizontal="left" vertical="top" wrapText="1" shrinkToFit="1"/>
    </xf>
    <xf numFmtId="0" fontId="15" fillId="3" borderId="0" xfId="0" applyFont="1" applyFill="1" applyAlignment="1">
      <alignment horizontal="left" vertical="top" wrapText="1" shrinkToFit="1"/>
    </xf>
    <xf numFmtId="0" fontId="15" fillId="3" borderId="34" xfId="0" applyFont="1" applyFill="1" applyBorder="1" applyAlignment="1">
      <alignment horizontal="left" vertical="top" wrapText="1" shrinkToFit="1"/>
    </xf>
    <xf numFmtId="0" fontId="15" fillId="3" borderId="2" xfId="0" applyFont="1" applyFill="1" applyBorder="1" applyAlignment="1">
      <alignment horizontal="left" vertical="top" wrapText="1" shrinkToFit="1"/>
    </xf>
    <xf numFmtId="0" fontId="15" fillId="3" borderId="0" xfId="0" applyFont="1" applyFill="1" applyAlignment="1">
      <alignment horizontal="left" wrapText="1" shrinkToFit="1"/>
    </xf>
    <xf numFmtId="0" fontId="15" fillId="3" borderId="2" xfId="0" applyFont="1" applyFill="1" applyBorder="1" applyAlignment="1">
      <alignment horizontal="left" wrapText="1" shrinkToFit="1"/>
    </xf>
    <xf numFmtId="4" fontId="15" fillId="0" borderId="54" xfId="0" applyNumberFormat="1" applyFont="1" applyBorder="1" applyAlignment="1">
      <alignment horizontal="center"/>
    </xf>
    <xf numFmtId="4" fontId="15" fillId="0" borderId="46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2" fontId="15" fillId="0" borderId="45" xfId="0" applyNumberFormat="1" applyFont="1" applyBorder="1" applyAlignment="1">
      <alignment horizontal="center"/>
    </xf>
    <xf numFmtId="0" fontId="15" fillId="3" borderId="44" xfId="0" applyFont="1" applyFill="1" applyBorder="1" applyAlignment="1">
      <alignment horizontal="left" wrapText="1" shrinkToFit="1"/>
    </xf>
    <xf numFmtId="0" fontId="15" fillId="3" borderId="47" xfId="0" applyFont="1" applyFill="1" applyBorder="1" applyAlignment="1">
      <alignment horizontal="left" wrapText="1" shrinkToFit="1"/>
    </xf>
    <xf numFmtId="0" fontId="15" fillId="3" borderId="13" xfId="0" applyFont="1" applyFill="1" applyBorder="1" applyAlignment="1">
      <alignment horizontal="left" wrapText="1" shrinkToFit="1"/>
    </xf>
    <xf numFmtId="0" fontId="15" fillId="3" borderId="14" xfId="0" applyFont="1" applyFill="1" applyBorder="1" applyAlignment="1">
      <alignment horizontal="left" wrapText="1" shrinkToFit="1"/>
    </xf>
    <xf numFmtId="0" fontId="15" fillId="4" borderId="46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/>
    </xf>
    <xf numFmtId="0" fontId="36" fillId="4" borderId="52" xfId="0" applyFont="1" applyFill="1" applyBorder="1" applyAlignment="1">
      <alignment horizontal="center" vertical="center"/>
    </xf>
    <xf numFmtId="0" fontId="36" fillId="4" borderId="5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5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 wrapText="1"/>
    </xf>
    <xf numFmtId="0" fontId="18" fillId="4" borderId="22" xfId="0" applyNumberFormat="1" applyFont="1" applyFill="1" applyBorder="1" applyAlignment="1">
      <alignment horizontal="center"/>
    </xf>
    <xf numFmtId="49" fontId="18" fillId="4" borderId="43" xfId="0" applyNumberFormat="1" applyFont="1" applyFill="1" applyBorder="1" applyAlignment="1">
      <alignment horizontal="center"/>
    </xf>
  </cellXfs>
  <cellStyles count="1470">
    <cellStyle name="1000-sep (2 dec) 2" xfId="773" xr:uid="{00000000-0005-0000-0000-000000000000}"/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4" builtinId="9" hidden="1"/>
    <cellStyle name="Besøgt link" xfId="346" builtinId="9" hidden="1"/>
    <cellStyle name="Besøgt link" xfId="348" builtinId="9" hidden="1"/>
    <cellStyle name="Besøgt link" xfId="350" builtinId="9" hidden="1"/>
    <cellStyle name="Besøgt link" xfId="352" builtinId="9" hidden="1"/>
    <cellStyle name="Besøgt link" xfId="354" builtinId="9" hidden="1"/>
    <cellStyle name="Besøgt link" xfId="356" builtinId="9" hidden="1"/>
    <cellStyle name="Besøgt link" xfId="358" builtinId="9" hidden="1"/>
    <cellStyle name="Besøgt link" xfId="360" builtinId="9" hidden="1"/>
    <cellStyle name="Besøgt link" xfId="362" builtinId="9" hidden="1"/>
    <cellStyle name="Besøgt link" xfId="364" builtinId="9" hidden="1"/>
    <cellStyle name="Besøgt link" xfId="366" builtinId="9" hidden="1"/>
    <cellStyle name="Besøgt link" xfId="368" builtinId="9" hidden="1"/>
    <cellStyle name="Besøgt link" xfId="370" builtinId="9" hidden="1"/>
    <cellStyle name="Besøgt link" xfId="372" builtinId="9" hidden="1"/>
    <cellStyle name="Besøgt link" xfId="374" builtinId="9" hidden="1"/>
    <cellStyle name="Besøgt link" xfId="376" builtinId="9" hidden="1"/>
    <cellStyle name="Besøgt link" xfId="378" builtinId="9" hidden="1"/>
    <cellStyle name="Besøgt link" xfId="380" builtinId="9" hidden="1"/>
    <cellStyle name="Besøgt link" xfId="382" builtinId="9" hidden="1"/>
    <cellStyle name="Besøgt link" xfId="384" builtinId="9" hidden="1"/>
    <cellStyle name="Besøgt link" xfId="386" builtinId="9" hidden="1"/>
    <cellStyle name="Besøgt link" xfId="388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Besøgt link" xfId="456" builtinId="9" hidden="1"/>
    <cellStyle name="Besøgt link" xfId="458" builtinId="9" hidden="1"/>
    <cellStyle name="Besøgt link" xfId="460" builtinId="9" hidden="1"/>
    <cellStyle name="Besøgt link" xfId="462" builtinId="9" hidden="1"/>
    <cellStyle name="Besøgt link" xfId="464" builtinId="9" hidden="1"/>
    <cellStyle name="Besøgt link" xfId="466" builtinId="9" hidden="1"/>
    <cellStyle name="Besøgt link" xfId="468" builtinId="9" hidden="1"/>
    <cellStyle name="Besøgt link" xfId="470" builtinId="9" hidden="1"/>
    <cellStyle name="Besøgt link" xfId="472" builtinId="9" hidden="1"/>
    <cellStyle name="Besøgt link" xfId="474" builtinId="9" hidden="1"/>
    <cellStyle name="Besøgt link" xfId="476" builtinId="9" hidden="1"/>
    <cellStyle name="Besøgt link" xfId="478" builtinId="9" hidden="1"/>
    <cellStyle name="Besøgt link" xfId="480" builtinId="9" hidden="1"/>
    <cellStyle name="Besøgt link" xfId="482" builtinId="9" hidden="1"/>
    <cellStyle name="Besøgt link" xfId="484" builtinId="9" hidden="1"/>
    <cellStyle name="Besøgt link" xfId="486" builtinId="9" hidden="1"/>
    <cellStyle name="Besøgt link" xfId="488" builtinId="9" hidden="1"/>
    <cellStyle name="Besøgt link" xfId="490" builtinId="9" hidden="1"/>
    <cellStyle name="Besøgt link" xfId="492" builtinId="9" hidden="1"/>
    <cellStyle name="Besøgt link" xfId="494" builtinId="9" hidden="1"/>
    <cellStyle name="Besøgt link" xfId="496" builtinId="9" hidden="1"/>
    <cellStyle name="Besøgt link" xfId="498" builtinId="9" hidden="1"/>
    <cellStyle name="Besøgt link" xfId="500" builtinId="9" hidden="1"/>
    <cellStyle name="Besøgt link" xfId="502" builtinId="9" hidden="1"/>
    <cellStyle name="Besøgt link" xfId="504" builtinId="9" hidden="1"/>
    <cellStyle name="Besøgt link" xfId="506" builtinId="9" hidden="1"/>
    <cellStyle name="Besøgt link" xfId="508" builtinId="9" hidden="1"/>
    <cellStyle name="Besøgt link" xfId="510" builtinId="9" hidden="1"/>
    <cellStyle name="Besøgt link" xfId="512" builtinId="9" hidden="1"/>
    <cellStyle name="Besøgt link" xfId="514" builtinId="9" hidden="1"/>
    <cellStyle name="Besøgt link" xfId="516" builtinId="9" hidden="1"/>
    <cellStyle name="Besøgt link" xfId="518" builtinId="9" hidden="1"/>
    <cellStyle name="Besøgt link" xfId="520" builtinId="9" hidden="1"/>
    <cellStyle name="Besøgt link" xfId="522" builtinId="9" hidden="1"/>
    <cellStyle name="Besøgt link" xfId="524" builtinId="9" hidden="1"/>
    <cellStyle name="Besøgt link" xfId="526" builtinId="9" hidden="1"/>
    <cellStyle name="Besøgt link" xfId="528" builtinId="9" hidden="1"/>
    <cellStyle name="Besøgt link" xfId="530" builtinId="9" hidden="1"/>
    <cellStyle name="Besøgt link" xfId="532" builtinId="9" hidden="1"/>
    <cellStyle name="Besøgt link" xfId="534" builtinId="9" hidden="1"/>
    <cellStyle name="Besøgt link" xfId="536" builtinId="9" hidden="1"/>
    <cellStyle name="Besøgt link" xfId="538" builtinId="9" hidden="1"/>
    <cellStyle name="Besøgt link" xfId="540" builtinId="9" hidden="1"/>
    <cellStyle name="Besøgt link" xfId="542" builtinId="9" hidden="1"/>
    <cellStyle name="Besøgt link" xfId="544" builtinId="9" hidden="1"/>
    <cellStyle name="Besøgt link" xfId="546" builtinId="9" hidden="1"/>
    <cellStyle name="Besøgt link" xfId="548" builtinId="9" hidden="1"/>
    <cellStyle name="Besøgt link" xfId="550" builtinId="9" hidden="1"/>
    <cellStyle name="Besøgt link" xfId="552" builtinId="9" hidden="1"/>
    <cellStyle name="Besøgt link" xfId="554" builtinId="9" hidden="1"/>
    <cellStyle name="Besøgt link" xfId="556" builtinId="9" hidden="1"/>
    <cellStyle name="Besøgt link" xfId="558" builtinId="9" hidden="1"/>
    <cellStyle name="Besøgt link" xfId="560" builtinId="9" hidden="1"/>
    <cellStyle name="Besøgt link" xfId="562" builtinId="9" hidden="1"/>
    <cellStyle name="Besøgt link" xfId="564" builtinId="9" hidden="1"/>
    <cellStyle name="Besøgt link" xfId="566" builtinId="9" hidden="1"/>
    <cellStyle name="Besøgt link" xfId="568" builtinId="9" hidden="1"/>
    <cellStyle name="Besøgt link" xfId="570" builtinId="9" hidden="1"/>
    <cellStyle name="Besøgt link" xfId="572" builtinId="9" hidden="1"/>
    <cellStyle name="Besøgt link" xfId="574" builtinId="9" hidden="1"/>
    <cellStyle name="Besøgt link" xfId="576" builtinId="9" hidden="1"/>
    <cellStyle name="Besøgt link" xfId="578" builtinId="9" hidden="1"/>
    <cellStyle name="Besøgt link" xfId="580" builtinId="9" hidden="1"/>
    <cellStyle name="Besøgt link" xfId="582" builtinId="9" hidden="1"/>
    <cellStyle name="Besøgt link" xfId="584" builtinId="9" hidden="1"/>
    <cellStyle name="Besøgt link" xfId="586" builtinId="9" hidden="1"/>
    <cellStyle name="Besøgt link" xfId="588" builtinId="9" hidden="1"/>
    <cellStyle name="Besøgt link" xfId="590" builtinId="9" hidden="1"/>
    <cellStyle name="Besøgt link" xfId="592" builtinId="9" hidden="1"/>
    <cellStyle name="Besøgt link" xfId="594" builtinId="9" hidden="1"/>
    <cellStyle name="Besøgt link" xfId="596" builtinId="9" hidden="1"/>
    <cellStyle name="Besøgt link" xfId="598" builtinId="9" hidden="1"/>
    <cellStyle name="Besøgt link" xfId="600" builtinId="9" hidden="1"/>
    <cellStyle name="Besøgt link" xfId="602" builtinId="9" hidden="1"/>
    <cellStyle name="Besøgt link" xfId="604" builtinId="9" hidden="1"/>
    <cellStyle name="Besøgt link" xfId="606" builtinId="9" hidden="1"/>
    <cellStyle name="Besøgt link" xfId="608" builtinId="9" hidden="1"/>
    <cellStyle name="Besøgt link" xfId="610" builtinId="9" hidden="1"/>
    <cellStyle name="Besøgt link" xfId="612" builtinId="9" hidden="1"/>
    <cellStyle name="Besøgt link" xfId="614" builtinId="9" hidden="1"/>
    <cellStyle name="Besøgt link" xfId="616" builtinId="9" hidden="1"/>
    <cellStyle name="Besøgt link" xfId="618" builtinId="9" hidden="1"/>
    <cellStyle name="Besøgt link" xfId="620" builtinId="9" hidden="1"/>
    <cellStyle name="Besøgt link" xfId="622" builtinId="9" hidden="1"/>
    <cellStyle name="Besøgt link" xfId="624" builtinId="9" hidden="1"/>
    <cellStyle name="Besøgt link" xfId="626" builtinId="9" hidden="1"/>
    <cellStyle name="Besøgt link" xfId="628" builtinId="9" hidden="1"/>
    <cellStyle name="Besøgt link" xfId="630" builtinId="9" hidden="1"/>
    <cellStyle name="Besøgt link" xfId="632" builtinId="9" hidden="1"/>
    <cellStyle name="Besøgt link" xfId="634" builtinId="9" hidden="1"/>
    <cellStyle name="Besøgt link" xfId="636" builtinId="9" hidden="1"/>
    <cellStyle name="Besøgt link" xfId="638" builtinId="9" hidden="1"/>
    <cellStyle name="Besøgt link" xfId="640" builtinId="9" hidden="1"/>
    <cellStyle name="Besøgt link" xfId="642" builtinId="9" hidden="1"/>
    <cellStyle name="Besøgt link" xfId="644" builtinId="9" hidden="1"/>
    <cellStyle name="Besøgt link" xfId="646" builtinId="9" hidden="1"/>
    <cellStyle name="Besøgt link" xfId="648" builtinId="9" hidden="1"/>
    <cellStyle name="Besøgt link" xfId="650" builtinId="9" hidden="1"/>
    <cellStyle name="Besøgt link" xfId="652" builtinId="9" hidden="1"/>
    <cellStyle name="Besøgt link" xfId="654" builtinId="9" hidden="1"/>
    <cellStyle name="Besøgt link" xfId="656" builtinId="9" hidden="1"/>
    <cellStyle name="Besøgt link" xfId="658" builtinId="9" hidden="1"/>
    <cellStyle name="Besøgt link" xfId="660" builtinId="9" hidden="1"/>
    <cellStyle name="Besøgt link" xfId="662" builtinId="9" hidden="1"/>
    <cellStyle name="Besøgt link" xfId="664" builtinId="9" hidden="1"/>
    <cellStyle name="Besøgt link" xfId="666" builtinId="9" hidden="1"/>
    <cellStyle name="Besøgt link" xfId="668" builtinId="9" hidden="1"/>
    <cellStyle name="Besøgt link" xfId="670" builtinId="9" hidden="1"/>
    <cellStyle name="Besøgt link" xfId="672" builtinId="9" hidden="1"/>
    <cellStyle name="Besøgt link" xfId="674" builtinId="9" hidden="1"/>
    <cellStyle name="Besøgt link" xfId="676" builtinId="9" hidden="1"/>
    <cellStyle name="Besøgt link" xfId="678" builtinId="9" hidden="1"/>
    <cellStyle name="Besøgt link" xfId="680" builtinId="9" hidden="1"/>
    <cellStyle name="Besøgt link" xfId="682" builtinId="9" hidden="1"/>
    <cellStyle name="Besøgt link" xfId="684" builtinId="9" hidden="1"/>
    <cellStyle name="Besøgt link" xfId="686" builtinId="9" hidden="1"/>
    <cellStyle name="Besøgt link" xfId="688" builtinId="9" hidden="1"/>
    <cellStyle name="Besøgt link" xfId="690" builtinId="9" hidden="1"/>
    <cellStyle name="Besøgt link" xfId="692" builtinId="9" hidden="1"/>
    <cellStyle name="Besøgt link" xfId="694" builtinId="9" hidden="1"/>
    <cellStyle name="Besøgt link" xfId="696" builtinId="9" hidden="1"/>
    <cellStyle name="Besøgt link" xfId="698" builtinId="9" hidden="1"/>
    <cellStyle name="Besøgt link" xfId="700" builtinId="9" hidden="1"/>
    <cellStyle name="Besøgt link" xfId="702" builtinId="9" hidden="1"/>
    <cellStyle name="Besøgt link" xfId="704" builtinId="9" hidden="1"/>
    <cellStyle name="Besøgt link" xfId="706" builtinId="9" hidden="1"/>
    <cellStyle name="Besøgt link" xfId="708" builtinId="9" hidden="1"/>
    <cellStyle name="Besøgt link" xfId="711" builtinId="9" hidden="1"/>
    <cellStyle name="Besøgt link" xfId="713" builtinId="9" hidden="1"/>
    <cellStyle name="Besøgt link" xfId="715" builtinId="9" hidden="1"/>
    <cellStyle name="Besøgt link" xfId="717" builtinId="9" hidden="1"/>
    <cellStyle name="Besøgt link" xfId="719" builtinId="9" hidden="1"/>
    <cellStyle name="Besøgt link" xfId="721" builtinId="9" hidden="1"/>
    <cellStyle name="Besøgt link" xfId="723" builtinId="9" hidden="1"/>
    <cellStyle name="Besøgt link" xfId="725" builtinId="9" hidden="1"/>
    <cellStyle name="Besøgt link" xfId="727" builtinId="9" hidden="1"/>
    <cellStyle name="Besøgt link" xfId="729" builtinId="9" hidden="1"/>
    <cellStyle name="Besøgt link" xfId="731" builtinId="9" hidden="1"/>
    <cellStyle name="Besøgt link" xfId="733" builtinId="9" hidden="1"/>
    <cellStyle name="Besøgt link" xfId="735" builtinId="9" hidden="1"/>
    <cellStyle name="Besøgt link" xfId="737" builtinId="9" hidden="1"/>
    <cellStyle name="Besøgt link" xfId="739" builtinId="9" hidden="1"/>
    <cellStyle name="Besøgt link" xfId="741" builtinId="9" hidden="1"/>
    <cellStyle name="Besøgt link" xfId="743" builtinId="9" hidden="1"/>
    <cellStyle name="Besøgt link" xfId="745" builtinId="9" hidden="1"/>
    <cellStyle name="Besøgt link" xfId="747" builtinId="9" hidden="1"/>
    <cellStyle name="Besøgt link" xfId="749" builtinId="9" hidden="1"/>
    <cellStyle name="Besøgt link" xfId="751" builtinId="9" hidden="1"/>
    <cellStyle name="Besøgt link" xfId="753" builtinId="9" hidden="1"/>
    <cellStyle name="Besøgt link" xfId="755" builtinId="9" hidden="1"/>
    <cellStyle name="Besøgt link" xfId="757" builtinId="9" hidden="1"/>
    <cellStyle name="Besøgt link" xfId="759" builtinId="9" hidden="1"/>
    <cellStyle name="Besøgt link" xfId="761" builtinId="9" hidden="1"/>
    <cellStyle name="Besøgt link" xfId="763" builtinId="9" hidden="1"/>
    <cellStyle name="Besøgt link" xfId="765" builtinId="9" hidden="1"/>
    <cellStyle name="Besøgt link" xfId="767" builtinId="9" hidden="1"/>
    <cellStyle name="Besøgt link" xfId="769" builtinId="9" hidden="1"/>
    <cellStyle name="Besøgt link" xfId="771" builtinId="9" hidden="1"/>
    <cellStyle name="Besøgt link" xfId="777" builtinId="9" hidden="1"/>
    <cellStyle name="Besøgt link" xfId="779" builtinId="9" hidden="1"/>
    <cellStyle name="Besøgt link" xfId="781" builtinId="9" hidden="1"/>
    <cellStyle name="Besøgt link" xfId="783" builtinId="9" hidden="1"/>
    <cellStyle name="Besøgt link" xfId="785" builtinId="9" hidden="1"/>
    <cellStyle name="Besøgt link" xfId="787" builtinId="9" hidden="1"/>
    <cellStyle name="Besøgt link" xfId="789" builtinId="9" hidden="1"/>
    <cellStyle name="Besøgt link" xfId="791" builtinId="9" hidden="1"/>
    <cellStyle name="Besøgt link" xfId="793" builtinId="9" hidden="1"/>
    <cellStyle name="Besøgt link" xfId="795" builtinId="9" hidden="1"/>
    <cellStyle name="Besøgt link" xfId="797" builtinId="9" hidden="1"/>
    <cellStyle name="Besøgt link" xfId="799" builtinId="9" hidden="1"/>
    <cellStyle name="Besøgt link" xfId="801" builtinId="9" hidden="1"/>
    <cellStyle name="Besøgt link" xfId="803" builtinId="9" hidden="1"/>
    <cellStyle name="Besøgt link" xfId="805" builtinId="9" hidden="1"/>
    <cellStyle name="Besøgt link" xfId="807" builtinId="9" hidden="1"/>
    <cellStyle name="Besøgt link" xfId="809" builtinId="9" hidden="1"/>
    <cellStyle name="Besøgt link" xfId="811" builtinId="9" hidden="1"/>
    <cellStyle name="Besøgt link" xfId="813" builtinId="9" hidden="1"/>
    <cellStyle name="Besøgt link" xfId="815" builtinId="9" hidden="1"/>
    <cellStyle name="Besøgt link" xfId="817" builtinId="9" hidden="1"/>
    <cellStyle name="Besøgt link" xfId="819" builtinId="9" hidden="1"/>
    <cellStyle name="Besøgt link" xfId="821" builtinId="9" hidden="1"/>
    <cellStyle name="Besøgt link" xfId="823" builtinId="9" hidden="1"/>
    <cellStyle name="Besøgt link" xfId="825" builtinId="9" hidden="1"/>
    <cellStyle name="Besøgt link" xfId="827" builtinId="9" hidden="1"/>
    <cellStyle name="Besøgt link" xfId="829" builtinId="9" hidden="1"/>
    <cellStyle name="Besøgt link" xfId="831" builtinId="9" hidden="1"/>
    <cellStyle name="Besøgt link" xfId="833" builtinId="9" hidden="1"/>
    <cellStyle name="Besøgt link" xfId="835" builtinId="9" hidden="1"/>
    <cellStyle name="Besøgt link" xfId="837" builtinId="9" hidden="1"/>
    <cellStyle name="Besøgt link" xfId="839" builtinId="9" hidden="1"/>
    <cellStyle name="Besøgt link" xfId="841" builtinId="9" hidden="1"/>
    <cellStyle name="Besøgt link" xfId="843" builtinId="9" hidden="1"/>
    <cellStyle name="Besøgt link" xfId="845" builtinId="9" hidden="1"/>
    <cellStyle name="Besøgt link" xfId="847" builtinId="9" hidden="1"/>
    <cellStyle name="Besøgt link" xfId="849" builtinId="9" hidden="1"/>
    <cellStyle name="Besøgt link" xfId="851" builtinId="9" hidden="1"/>
    <cellStyle name="Besøgt link" xfId="853" builtinId="9" hidden="1"/>
    <cellStyle name="Besøgt link" xfId="855" builtinId="9" hidden="1"/>
    <cellStyle name="Besøgt link" xfId="857" builtinId="9" hidden="1"/>
    <cellStyle name="Besøgt link" xfId="859" builtinId="9" hidden="1"/>
    <cellStyle name="Besøgt link" xfId="861" builtinId="9" hidden="1"/>
    <cellStyle name="Besøgt link" xfId="863" builtinId="9" hidden="1"/>
    <cellStyle name="Besøgt link" xfId="865" builtinId="9" hidden="1"/>
    <cellStyle name="Besøgt link" xfId="867" builtinId="9" hidden="1"/>
    <cellStyle name="Besøgt link" xfId="869" builtinId="9" hidden="1"/>
    <cellStyle name="Besøgt link" xfId="871" builtinId="9" hidden="1"/>
    <cellStyle name="Besøgt link" xfId="873" builtinId="9" hidden="1"/>
    <cellStyle name="Besøgt link" xfId="875" builtinId="9" hidden="1"/>
    <cellStyle name="Besøgt link" xfId="877" builtinId="9" hidden="1"/>
    <cellStyle name="Besøgt link" xfId="879" builtinId="9" hidden="1"/>
    <cellStyle name="Besøgt link" xfId="881" builtinId="9" hidden="1"/>
    <cellStyle name="Besøgt link" xfId="883" builtinId="9" hidden="1"/>
    <cellStyle name="Besøgt link" xfId="885" builtinId="9" hidden="1"/>
    <cellStyle name="Besøgt link" xfId="887" builtinId="9" hidden="1"/>
    <cellStyle name="Besøgt link" xfId="889" builtinId="9" hidden="1"/>
    <cellStyle name="Besøgt link" xfId="891" builtinId="9" hidden="1"/>
    <cellStyle name="Besøgt link" xfId="893" builtinId="9" hidden="1"/>
    <cellStyle name="Besøgt link" xfId="895" builtinId="9" hidden="1"/>
    <cellStyle name="Besøgt link" xfId="897" builtinId="9" hidden="1"/>
    <cellStyle name="Besøgt link" xfId="899" builtinId="9" hidden="1"/>
    <cellStyle name="Besøgt link" xfId="901" builtinId="9" hidden="1"/>
    <cellStyle name="Besøgt link" xfId="903" builtinId="9" hidden="1"/>
    <cellStyle name="Besøgt link" xfId="905" builtinId="9" hidden="1"/>
    <cellStyle name="Besøgt link" xfId="907" builtinId="9" hidden="1"/>
    <cellStyle name="Besøgt link" xfId="909" builtinId="9" hidden="1"/>
    <cellStyle name="Besøgt link" xfId="911" builtinId="9" hidden="1"/>
    <cellStyle name="Besøgt link" xfId="913" builtinId="9" hidden="1"/>
    <cellStyle name="Besøgt link" xfId="915" builtinId="9" hidden="1"/>
    <cellStyle name="Besøgt link" xfId="917" builtinId="9" hidden="1"/>
    <cellStyle name="Besøgt link" xfId="919" builtinId="9" hidden="1"/>
    <cellStyle name="Besøgt link" xfId="921" builtinId="9" hidden="1"/>
    <cellStyle name="Besøgt link" xfId="923" builtinId="9" hidden="1"/>
    <cellStyle name="Besøgt link" xfId="925" builtinId="9" hidden="1"/>
    <cellStyle name="Besøgt link" xfId="927" builtinId="9" hidden="1"/>
    <cellStyle name="Besøgt link" xfId="929" builtinId="9" hidden="1"/>
    <cellStyle name="Besøgt link" xfId="931" builtinId="9" hidden="1"/>
    <cellStyle name="Besøgt link" xfId="933" builtinId="9" hidden="1"/>
    <cellStyle name="Besøgt link" xfId="935" builtinId="9" hidden="1"/>
    <cellStyle name="Besøgt link" xfId="937" builtinId="9" hidden="1"/>
    <cellStyle name="Besøgt link" xfId="939" builtinId="9" hidden="1"/>
    <cellStyle name="Besøgt link" xfId="941" builtinId="9" hidden="1"/>
    <cellStyle name="Besøgt link" xfId="943" builtinId="9" hidden="1"/>
    <cellStyle name="Besøgt link" xfId="945" builtinId="9" hidden="1"/>
    <cellStyle name="Besøgt link" xfId="947" builtinId="9" hidden="1"/>
    <cellStyle name="Besøgt link" xfId="949" builtinId="9" hidden="1"/>
    <cellStyle name="Besøgt link" xfId="951" builtinId="9" hidden="1"/>
    <cellStyle name="Besøgt link" xfId="953" builtinId="9" hidden="1"/>
    <cellStyle name="Besøgt link" xfId="955" builtinId="9" hidden="1"/>
    <cellStyle name="Besøgt link" xfId="957" builtinId="9" hidden="1"/>
    <cellStyle name="Besøgt link" xfId="959" builtinId="9" hidden="1"/>
    <cellStyle name="Besøgt link" xfId="961" builtinId="9" hidden="1"/>
    <cellStyle name="Besøgt link" xfId="963" builtinId="9" hidden="1"/>
    <cellStyle name="Besøgt link" xfId="965" builtinId="9" hidden="1"/>
    <cellStyle name="Besøgt link" xfId="967" builtinId="9" hidden="1"/>
    <cellStyle name="Besøgt link" xfId="969" builtinId="9" hidden="1"/>
    <cellStyle name="Besøgt link" xfId="971" builtinId="9" hidden="1"/>
    <cellStyle name="Besøgt link" xfId="973" builtinId="9" hidden="1"/>
    <cellStyle name="Besøgt link" xfId="975" builtinId="9" hidden="1"/>
    <cellStyle name="Besøgt link" xfId="977" builtinId="9" hidden="1"/>
    <cellStyle name="Besøgt link" xfId="979" builtinId="9" hidden="1"/>
    <cellStyle name="Besøgt link" xfId="981" builtinId="9" hidden="1"/>
    <cellStyle name="Besøgt link" xfId="983" builtinId="9" hidden="1"/>
    <cellStyle name="Besøgt link" xfId="985" builtinId="9" hidden="1"/>
    <cellStyle name="Besøgt link" xfId="987" builtinId="9" hidden="1"/>
    <cellStyle name="Besøgt link" xfId="989" builtinId="9" hidden="1"/>
    <cellStyle name="Besøgt link" xfId="991" builtinId="9" hidden="1"/>
    <cellStyle name="Besøgt link" xfId="993" builtinId="9" hidden="1"/>
    <cellStyle name="Besøgt link" xfId="995" builtinId="9" hidden="1"/>
    <cellStyle name="Besøgt link" xfId="997" builtinId="9" hidden="1"/>
    <cellStyle name="Besøgt link" xfId="999" builtinId="9" hidden="1"/>
    <cellStyle name="Besøgt link" xfId="1001" builtinId="9" hidden="1"/>
    <cellStyle name="Besøgt link" xfId="1003" builtinId="9" hidden="1"/>
    <cellStyle name="Besøgt link" xfId="1005" builtinId="9" hidden="1"/>
    <cellStyle name="Besøgt link" xfId="1007" builtinId="9" hidden="1"/>
    <cellStyle name="Besøgt link" xfId="1009" builtinId="9" hidden="1"/>
    <cellStyle name="Besøgt link" xfId="1011" builtinId="9" hidden="1"/>
    <cellStyle name="Besøgt link" xfId="1013" builtinId="9" hidden="1"/>
    <cellStyle name="Besøgt link" xfId="1015" builtinId="9" hidden="1"/>
    <cellStyle name="Besøgt link" xfId="1017" builtinId="9" hidden="1"/>
    <cellStyle name="Besøgt link" xfId="1019" builtinId="9" hidden="1"/>
    <cellStyle name="Besøgt link" xfId="1021" builtinId="9" hidden="1"/>
    <cellStyle name="Besøgt link" xfId="1023" builtinId="9" hidden="1"/>
    <cellStyle name="Besøgt link" xfId="1025" builtinId="9" hidden="1"/>
    <cellStyle name="Besøgt link" xfId="1027" builtinId="9" hidden="1"/>
    <cellStyle name="Besøgt link" xfId="1029" builtinId="9" hidden="1"/>
    <cellStyle name="Besøgt link" xfId="1031" builtinId="9" hidden="1"/>
    <cellStyle name="Besøgt link" xfId="1033" builtinId="9" hidden="1"/>
    <cellStyle name="Besøgt link" xfId="1035" builtinId="9" hidden="1"/>
    <cellStyle name="Besøgt link" xfId="1037" builtinId="9" hidden="1"/>
    <cellStyle name="Besøgt link" xfId="1039" builtinId="9" hidden="1"/>
    <cellStyle name="Besøgt link" xfId="1041" builtinId="9" hidden="1"/>
    <cellStyle name="Besøgt link" xfId="1043" builtinId="9" hidden="1"/>
    <cellStyle name="Besøgt link" xfId="1045" builtinId="9" hidden="1"/>
    <cellStyle name="Besøgt link" xfId="1047" builtinId="9" hidden="1"/>
    <cellStyle name="Besøgt link" xfId="1049" builtinId="9" hidden="1"/>
    <cellStyle name="Besøgt link" xfId="1051" builtinId="9" hidden="1"/>
    <cellStyle name="Besøgt link" xfId="1053" builtinId="9" hidden="1"/>
    <cellStyle name="Besøgt link" xfId="1055" builtinId="9" hidden="1"/>
    <cellStyle name="Besøgt link" xfId="1057" builtinId="9" hidden="1"/>
    <cellStyle name="Besøgt link" xfId="1059" builtinId="9" hidden="1"/>
    <cellStyle name="Besøgt link" xfId="1061" builtinId="9" hidden="1"/>
    <cellStyle name="Besøgt link" xfId="1063" builtinId="9" hidden="1"/>
    <cellStyle name="Besøgt link" xfId="1065" builtinId="9" hidden="1"/>
    <cellStyle name="Besøgt link" xfId="1067" builtinId="9" hidden="1"/>
    <cellStyle name="Besøgt link" xfId="1069" builtinId="9" hidden="1"/>
    <cellStyle name="Besøgt link" xfId="1071" builtinId="9" hidden="1"/>
    <cellStyle name="Besøgt link" xfId="1073" builtinId="9" hidden="1"/>
    <cellStyle name="Besøgt link" xfId="1075" builtinId="9" hidden="1"/>
    <cellStyle name="Besøgt link" xfId="1077" builtinId="9" hidden="1"/>
    <cellStyle name="Besøgt link" xfId="1079" builtinId="9" hidden="1"/>
    <cellStyle name="Besøgt link" xfId="1081" builtinId="9" hidden="1"/>
    <cellStyle name="Besøgt link" xfId="1083" builtinId="9" hidden="1"/>
    <cellStyle name="Besøgt link" xfId="1085" builtinId="9" hidden="1"/>
    <cellStyle name="Besøgt link" xfId="1087" builtinId="9" hidden="1"/>
    <cellStyle name="Besøgt link" xfId="1089" builtinId="9" hidden="1"/>
    <cellStyle name="Besøgt link" xfId="1091" builtinId="9" hidden="1"/>
    <cellStyle name="Besøgt link" xfId="1093" builtinId="9" hidden="1"/>
    <cellStyle name="Besøgt link" xfId="1095" builtinId="9" hidden="1"/>
    <cellStyle name="Besøgt link" xfId="1097" builtinId="9" hidden="1"/>
    <cellStyle name="Besøgt link" xfId="1099" builtinId="9" hidden="1"/>
    <cellStyle name="Besøgt link" xfId="1101" builtinId="9" hidden="1"/>
    <cellStyle name="Besøgt link" xfId="1103" builtinId="9" hidden="1"/>
    <cellStyle name="Besøgt link" xfId="1105" builtinId="9" hidden="1"/>
    <cellStyle name="Besøgt link" xfId="1107" builtinId="9" hidden="1"/>
    <cellStyle name="Besøgt link" xfId="1109" builtinId="9" hidden="1"/>
    <cellStyle name="Besøgt link" xfId="1111" builtinId="9" hidden="1"/>
    <cellStyle name="Besøgt link" xfId="1113" builtinId="9" hidden="1"/>
    <cellStyle name="Besøgt link" xfId="1115" builtinId="9" hidden="1"/>
    <cellStyle name="Besøgt link" xfId="1117" builtinId="9" hidden="1"/>
    <cellStyle name="Besøgt link" xfId="1119" builtinId="9" hidden="1"/>
    <cellStyle name="Besøgt link" xfId="1121" builtinId="9" hidden="1"/>
    <cellStyle name="Besøgt link" xfId="1123" builtinId="9" hidden="1"/>
    <cellStyle name="Besøgt link" xfId="1125" builtinId="9" hidden="1"/>
    <cellStyle name="Besøgt link" xfId="1127" builtinId="9" hidden="1"/>
    <cellStyle name="Besøgt link" xfId="1129" builtinId="9" hidden="1"/>
    <cellStyle name="Besøgt link" xfId="1131" builtinId="9" hidden="1"/>
    <cellStyle name="Besøgt link" xfId="1133" builtinId="9" hidden="1"/>
    <cellStyle name="Besøgt link" xfId="1135" builtinId="9" hidden="1"/>
    <cellStyle name="Besøgt link" xfId="1137" builtinId="9" hidden="1"/>
    <cellStyle name="Besøgt link" xfId="1139" builtinId="9" hidden="1"/>
    <cellStyle name="Besøgt link" xfId="1141" builtinId="9" hidden="1"/>
    <cellStyle name="Besøgt link" xfId="1143" builtinId="9" hidden="1"/>
    <cellStyle name="Besøgt link" xfId="1145" builtinId="9" hidden="1"/>
    <cellStyle name="Besøgt link" xfId="1147" builtinId="9" hidden="1"/>
    <cellStyle name="Besøgt link" xfId="1149" builtinId="9" hidden="1"/>
    <cellStyle name="Besøgt link" xfId="1151" builtinId="9" hidden="1"/>
    <cellStyle name="Besøgt link" xfId="1153" builtinId="9" hidden="1"/>
    <cellStyle name="Besøgt link" xfId="1155" builtinId="9" hidden="1"/>
    <cellStyle name="Besøgt link" xfId="1157" builtinId="9" hidden="1"/>
    <cellStyle name="Besøgt link" xfId="1159" builtinId="9" hidden="1"/>
    <cellStyle name="Besøgt link" xfId="1161" builtinId="9" hidden="1"/>
    <cellStyle name="Besøgt link" xfId="1163" builtinId="9" hidden="1"/>
    <cellStyle name="Besøgt link" xfId="1165" builtinId="9" hidden="1"/>
    <cellStyle name="Besøgt link" xfId="1167" builtinId="9" hidden="1"/>
    <cellStyle name="Besøgt link" xfId="1169" builtinId="9" hidden="1"/>
    <cellStyle name="Besøgt link" xfId="1171" builtinId="9" hidden="1"/>
    <cellStyle name="Besøgt link" xfId="1173" builtinId="9" hidden="1"/>
    <cellStyle name="Besøgt link" xfId="1175" builtinId="9" hidden="1"/>
    <cellStyle name="Besøgt link" xfId="1177" builtinId="9" hidden="1"/>
    <cellStyle name="Besøgt link" xfId="1179" builtinId="9" hidden="1"/>
    <cellStyle name="Besøgt link" xfId="1181" builtinId="9" hidden="1"/>
    <cellStyle name="Besøgt link" xfId="1183" builtinId="9" hidden="1"/>
    <cellStyle name="Besøgt link" xfId="1185" builtinId="9" hidden="1"/>
    <cellStyle name="Besøgt link" xfId="1187" builtinId="9" hidden="1"/>
    <cellStyle name="Besøgt link" xfId="1189" builtinId="9" hidden="1"/>
    <cellStyle name="Besøgt link" xfId="1191" builtinId="9" hidden="1"/>
    <cellStyle name="Besøgt link" xfId="1193" builtinId="9" hidden="1"/>
    <cellStyle name="Besøgt link" xfId="1195" builtinId="9" hidden="1"/>
    <cellStyle name="Besøgt link" xfId="1197" builtinId="9" hidden="1"/>
    <cellStyle name="Besøgt link" xfId="1199" builtinId="9" hidden="1"/>
    <cellStyle name="Besøgt link" xfId="1201" builtinId="9" hidden="1"/>
    <cellStyle name="Besøgt link" xfId="1203" builtinId="9" hidden="1"/>
    <cellStyle name="Besøgt link" xfId="1205" builtinId="9" hidden="1"/>
    <cellStyle name="Besøgt link" xfId="1207" builtinId="9" hidden="1"/>
    <cellStyle name="Besøgt link" xfId="1209" builtinId="9" hidden="1"/>
    <cellStyle name="Besøgt link" xfId="1211" builtinId="9" hidden="1"/>
    <cellStyle name="Besøgt link" xfId="1213" builtinId="9" hidden="1"/>
    <cellStyle name="Besøgt link" xfId="1215" builtinId="9" hidden="1"/>
    <cellStyle name="Besøgt link" xfId="1217" builtinId="9" hidden="1"/>
    <cellStyle name="Besøgt link" xfId="1219" builtinId="9" hidden="1"/>
    <cellStyle name="Besøgt link" xfId="1221" builtinId="9" hidden="1"/>
    <cellStyle name="Besøgt link" xfId="1223" builtinId="9" hidden="1"/>
    <cellStyle name="Besøgt link" xfId="1225" builtinId="9" hidden="1"/>
    <cellStyle name="Besøgt link" xfId="1227" builtinId="9" hidden="1"/>
    <cellStyle name="Besøgt link" xfId="1229" builtinId="9" hidden="1"/>
    <cellStyle name="Besøgt link" xfId="1231" builtinId="9" hidden="1"/>
    <cellStyle name="Besøgt link" xfId="1233" builtinId="9" hidden="1"/>
    <cellStyle name="Besøgt link" xfId="1235" builtinId="9" hidden="1"/>
    <cellStyle name="Besøgt link" xfId="1237" builtinId="9" hidden="1"/>
    <cellStyle name="Besøgt link" xfId="1239" builtinId="9" hidden="1"/>
    <cellStyle name="Besøgt link" xfId="1241" builtinId="9" hidden="1"/>
    <cellStyle name="Besøgt link" xfId="1243" builtinId="9" hidden="1"/>
    <cellStyle name="Besøgt link" xfId="1245" builtinId="9" hidden="1"/>
    <cellStyle name="Besøgt link" xfId="1247" builtinId="9" hidden="1"/>
    <cellStyle name="Besøgt link" xfId="1249" builtinId="9" hidden="1"/>
    <cellStyle name="Besøgt link" xfId="1251" builtinId="9" hidden="1"/>
    <cellStyle name="Besøgt link" xfId="1253" builtinId="9" hidden="1"/>
    <cellStyle name="Besøgt link" xfId="1255" builtinId="9" hidden="1"/>
    <cellStyle name="Besøgt link" xfId="1257" builtinId="9" hidden="1"/>
    <cellStyle name="Besøgt link" xfId="1259" builtinId="9" hidden="1"/>
    <cellStyle name="Besøgt link" xfId="1261" builtinId="9" hidden="1"/>
    <cellStyle name="Besøgt link" xfId="1263" builtinId="9" hidden="1"/>
    <cellStyle name="Besøgt link" xfId="1265" builtinId="9" hidden="1"/>
    <cellStyle name="Besøgt link" xfId="1267" builtinId="9" hidden="1"/>
    <cellStyle name="Besøgt link" xfId="1269" builtinId="9" hidden="1"/>
    <cellStyle name="Besøgt link" xfId="1271" builtinId="9" hidden="1"/>
    <cellStyle name="Besøgt link" xfId="1273" builtinId="9" hidden="1"/>
    <cellStyle name="Besøgt link" xfId="1275" builtinId="9" hidden="1"/>
    <cellStyle name="Besøgt link" xfId="1277" builtinId="9" hidden="1"/>
    <cellStyle name="Besøgt link" xfId="1279" builtinId="9" hidden="1"/>
    <cellStyle name="Besøgt link" xfId="1281" builtinId="9" hidden="1"/>
    <cellStyle name="Besøgt link" xfId="1283" builtinId="9" hidden="1"/>
    <cellStyle name="Besøgt link" xfId="1285" builtinId="9" hidden="1"/>
    <cellStyle name="Besøgt link" xfId="1287" builtinId="9" hidden="1"/>
    <cellStyle name="Besøgt link" xfId="1289" builtinId="9" hidden="1"/>
    <cellStyle name="Besøgt link" xfId="1291" builtinId="9" hidden="1"/>
    <cellStyle name="Besøgt link" xfId="1293" builtinId="9" hidden="1"/>
    <cellStyle name="Besøgt link" xfId="1295" builtinId="9" hidden="1"/>
    <cellStyle name="Besøgt link" xfId="1297" builtinId="9" hidden="1"/>
    <cellStyle name="Besøgt link" xfId="1299" builtinId="9" hidden="1"/>
    <cellStyle name="Besøgt link" xfId="1301" builtinId="9" hidden="1"/>
    <cellStyle name="Besøgt link" xfId="1303" builtinId="9" hidden="1"/>
    <cellStyle name="Besøgt link" xfId="1305" builtinId="9" hidden="1"/>
    <cellStyle name="Besøgt link" xfId="1307" builtinId="9" hidden="1"/>
    <cellStyle name="Besøgt link" xfId="1309" builtinId="9" hidden="1"/>
    <cellStyle name="Besøgt link" xfId="1311" builtinId="9" hidden="1"/>
    <cellStyle name="Besøgt link" xfId="1313" builtinId="9" hidden="1"/>
    <cellStyle name="Besøgt link" xfId="1315" builtinId="9" hidden="1"/>
    <cellStyle name="Besøgt link" xfId="1317" builtinId="9" hidden="1"/>
    <cellStyle name="Besøgt link" xfId="1319" builtinId="9" hidden="1"/>
    <cellStyle name="Besøgt link" xfId="1321" builtinId="9" hidden="1"/>
    <cellStyle name="Besøgt link" xfId="1323" builtinId="9" hidden="1"/>
    <cellStyle name="Besøgt link" xfId="1325" builtinId="9" hidden="1"/>
    <cellStyle name="Besøgt link" xfId="1327" builtinId="9" hidden="1"/>
    <cellStyle name="Besøgt link" xfId="1329" builtinId="9" hidden="1"/>
    <cellStyle name="Besøgt link" xfId="1331" builtinId="9" hidden="1"/>
    <cellStyle name="Besøgt link" xfId="1333" builtinId="9" hidden="1"/>
    <cellStyle name="Besøgt link" xfId="1335" builtinId="9" hidden="1"/>
    <cellStyle name="Besøgt link" xfId="1337" builtinId="9" hidden="1"/>
    <cellStyle name="Besøgt link" xfId="1339" builtinId="9" hidden="1"/>
    <cellStyle name="Besøgt link" xfId="1341" builtinId="9" hidden="1"/>
    <cellStyle name="Besøgt link" xfId="1343" builtinId="9" hidden="1"/>
    <cellStyle name="Besøgt link" xfId="1345" builtinId="9" hidden="1"/>
    <cellStyle name="Besøgt link" xfId="1347" builtinId="9" hidden="1"/>
    <cellStyle name="Besøgt link" xfId="1349" builtinId="9" hidden="1"/>
    <cellStyle name="Besøgt link" xfId="1351" builtinId="9" hidden="1"/>
    <cellStyle name="Besøgt link" xfId="1353" builtinId="9" hidden="1"/>
    <cellStyle name="Besøgt link" xfId="1355" builtinId="9" hidden="1"/>
    <cellStyle name="Besøgt link" xfId="1357" builtinId="9" hidden="1"/>
    <cellStyle name="Besøgt link" xfId="1359" builtinId="9" hidden="1"/>
    <cellStyle name="Besøgt link" xfId="1361" builtinId="9" hidden="1"/>
    <cellStyle name="Besøgt link" xfId="1363" builtinId="9" hidden="1"/>
    <cellStyle name="Besøgt link" xfId="1365" builtinId="9" hidden="1"/>
    <cellStyle name="Besøgt link" xfId="1367" builtinId="9" hidden="1"/>
    <cellStyle name="Besøgt link" xfId="1369" builtinId="9" hidden="1"/>
    <cellStyle name="Besøgt link" xfId="1371" builtinId="9" hidden="1"/>
    <cellStyle name="Besøgt link" xfId="1373" builtinId="9" hidden="1"/>
    <cellStyle name="Besøgt link" xfId="1375" builtinId="9" hidden="1"/>
    <cellStyle name="Besøgt link" xfId="1377" builtinId="9" hidden="1"/>
    <cellStyle name="Besøgt link" xfId="1379" builtinId="9" hidden="1"/>
    <cellStyle name="Besøgt link" xfId="1381" builtinId="9" hidden="1"/>
    <cellStyle name="Besøgt link" xfId="1383" builtinId="9" hidden="1"/>
    <cellStyle name="Besøgt link" xfId="1385" builtinId="9" hidden="1"/>
    <cellStyle name="Besøgt link" xfId="1387" builtinId="9" hidden="1"/>
    <cellStyle name="Besøgt link" xfId="1389" builtinId="9" hidden="1"/>
    <cellStyle name="Besøgt link" xfId="1391" builtinId="9" hidden="1"/>
    <cellStyle name="Besøgt link" xfId="1393" builtinId="9" hidden="1"/>
    <cellStyle name="Besøgt link" xfId="1395" builtinId="9" hidden="1"/>
    <cellStyle name="Besøgt link" xfId="1397" builtinId="9" hidden="1"/>
    <cellStyle name="Besøgt link" xfId="1399" builtinId="9" hidden="1"/>
    <cellStyle name="Besøgt link" xfId="1401" builtinId="9" hidden="1"/>
    <cellStyle name="Besøgt link" xfId="1403" builtinId="9" hidden="1"/>
    <cellStyle name="Besøgt link" xfId="1405" builtinId="9" hidden="1"/>
    <cellStyle name="Besøgt link" xfId="1407" builtinId="9" hidden="1"/>
    <cellStyle name="Besøgt link" xfId="1409" builtinId="9" hidden="1"/>
    <cellStyle name="Besøgt link" xfId="1411" builtinId="9" hidden="1"/>
    <cellStyle name="Besøgt link" xfId="1413" builtinId="9" hidden="1"/>
    <cellStyle name="Besøgt link" xfId="1415" builtinId="9" hidden="1"/>
    <cellStyle name="Besøgt link" xfId="1417" builtinId="9" hidden="1"/>
    <cellStyle name="Besøgt link" xfId="1419" builtinId="9" hidden="1"/>
    <cellStyle name="Besøgt link" xfId="1421" builtinId="9" hidden="1"/>
    <cellStyle name="Besøgt link" xfId="1423" builtinId="9" hidden="1"/>
    <cellStyle name="Besøgt link" xfId="1425" builtinId="9" hidden="1"/>
    <cellStyle name="Besøgt link" xfId="1427" builtinId="9" hidden="1"/>
    <cellStyle name="Besøgt link" xfId="1429" builtinId="9" hidden="1"/>
    <cellStyle name="Besøgt link" xfId="1431" builtinId="9" hidden="1"/>
    <cellStyle name="Besøgt link" xfId="1433" builtinId="9" hidden="1"/>
    <cellStyle name="Besøgt link" xfId="1435" builtinId="9" hidden="1"/>
    <cellStyle name="Besøgt link" xfId="1437" builtinId="9" hidden="1"/>
    <cellStyle name="Besøgt link" xfId="1439" builtinId="9" hidden="1"/>
    <cellStyle name="Besøgt link" xfId="1441" builtinId="9" hidden="1"/>
    <cellStyle name="Besøgt link" xfId="1443" builtinId="9" hidden="1"/>
    <cellStyle name="Besøgt link" xfId="1445" builtinId="9" hidden="1"/>
    <cellStyle name="Besøgt link" xfId="1447" builtinId="9" hidden="1"/>
    <cellStyle name="Besøgt link" xfId="1449" builtinId="9" hidden="1"/>
    <cellStyle name="Besøgt link" xfId="1451" builtinId="9" hidden="1"/>
    <cellStyle name="Besøgt link" xfId="1453" builtinId="9" hidden="1"/>
    <cellStyle name="Besøgt link" xfId="1455" builtinId="9" hidden="1"/>
    <cellStyle name="Besøgt link" xfId="1457" builtinId="9" hidden="1"/>
    <cellStyle name="Besøgt link" xfId="1459" builtinId="9" hidden="1"/>
    <cellStyle name="Besøgt link" xfId="1461" builtinId="9" hidden="1"/>
    <cellStyle name="Besøgt link" xfId="1463" builtinId="9" hidden="1"/>
    <cellStyle name="Besøgt link" xfId="1465" builtinId="9" hidden="1"/>
    <cellStyle name="Besøgt link" xfId="1467" builtinId="9" hidden="1"/>
    <cellStyle name="Besøgt link" xfId="1469" builtinId="9" hidden="1"/>
    <cellStyle name="Komma" xfId="80" builtinId="3"/>
    <cellStyle name="komma0" xfId="35" xr:uid="{00000000-0005-0000-0000-0000B8050000}"/>
    <cellStyle name="komma0 2" xfId="772" xr:uid="{00000000-0005-0000-0000-0000B905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10" builtinId="8" hidden="1"/>
    <cellStyle name="Link" xfId="712" builtinId="8" hidden="1"/>
    <cellStyle name="Link" xfId="714" builtinId="8" hidden="1"/>
    <cellStyle name="Link" xfId="716" builtinId="8" hidden="1"/>
    <cellStyle name="Link" xfId="718" builtinId="8" hidden="1"/>
    <cellStyle name="Link" xfId="720" builtinId="8" hidden="1"/>
    <cellStyle name="Link" xfId="722" builtinId="8" hidden="1"/>
    <cellStyle name="Link" xfId="724" builtinId="8" hidden="1"/>
    <cellStyle name="Link" xfId="726" builtinId="8" hidden="1"/>
    <cellStyle name="Link" xfId="728" builtinId="8" hidden="1"/>
    <cellStyle name="Link" xfId="730" builtinId="8" hidden="1"/>
    <cellStyle name="Link" xfId="732" builtinId="8" hidden="1"/>
    <cellStyle name="Link" xfId="734" builtinId="8" hidden="1"/>
    <cellStyle name="Link" xfId="736" builtinId="8" hidden="1"/>
    <cellStyle name="Link" xfId="738" builtinId="8" hidden="1"/>
    <cellStyle name="Link" xfId="740" builtinId="8" hidden="1"/>
    <cellStyle name="Link" xfId="742" builtinId="8" hidden="1"/>
    <cellStyle name="Link" xfId="744" builtinId="8" hidden="1"/>
    <cellStyle name="Link" xfId="746" builtinId="8" hidden="1"/>
    <cellStyle name="Link" xfId="748" builtinId="8" hidden="1"/>
    <cellStyle name="Link" xfId="750" builtinId="8" hidden="1"/>
    <cellStyle name="Link" xfId="752" builtinId="8" hidden="1"/>
    <cellStyle name="Link" xfId="754" builtinId="8" hidden="1"/>
    <cellStyle name="Link" xfId="756" builtinId="8" hidden="1"/>
    <cellStyle name="Link" xfId="758" builtinId="8" hidden="1"/>
    <cellStyle name="Link" xfId="760" builtinId="8" hidden="1"/>
    <cellStyle name="Link" xfId="762" builtinId="8" hidden="1"/>
    <cellStyle name="Link" xfId="764" builtinId="8" hidden="1"/>
    <cellStyle name="Link" xfId="766" builtinId="8" hidden="1"/>
    <cellStyle name="Link" xfId="768" builtinId="8" hidden="1"/>
    <cellStyle name="Link" xfId="770" builtinId="8" hidden="1"/>
    <cellStyle name="Link" xfId="776" builtinId="8" hidden="1"/>
    <cellStyle name="Link" xfId="778" builtinId="8" hidden="1"/>
    <cellStyle name="Link" xfId="780" builtinId="8" hidden="1"/>
    <cellStyle name="Link" xfId="782" builtinId="8" hidden="1"/>
    <cellStyle name="Link" xfId="784" builtinId="8" hidden="1"/>
    <cellStyle name="Link" xfId="786" builtinId="8" hidden="1"/>
    <cellStyle name="Link" xfId="788" builtinId="8" hidden="1"/>
    <cellStyle name="Link" xfId="790" builtinId="8" hidden="1"/>
    <cellStyle name="Link" xfId="792" builtinId="8" hidden="1"/>
    <cellStyle name="Link" xfId="794" builtinId="8" hidden="1"/>
    <cellStyle name="Link" xfId="796" builtinId="8" hidden="1"/>
    <cellStyle name="Link" xfId="798" builtinId="8" hidden="1"/>
    <cellStyle name="Link" xfId="800" builtinId="8" hidden="1"/>
    <cellStyle name="Link" xfId="802" builtinId="8" hidden="1"/>
    <cellStyle name="Link" xfId="804" builtinId="8" hidden="1"/>
    <cellStyle name="Link" xfId="806" builtinId="8" hidden="1"/>
    <cellStyle name="Link" xfId="808" builtinId="8" hidden="1"/>
    <cellStyle name="Link" xfId="810" builtinId="8" hidden="1"/>
    <cellStyle name="Link" xfId="812" builtinId="8" hidden="1"/>
    <cellStyle name="Link" xfId="814" builtinId="8" hidden="1"/>
    <cellStyle name="Link" xfId="816" builtinId="8" hidden="1"/>
    <cellStyle name="Link" xfId="818" builtinId="8" hidden="1"/>
    <cellStyle name="Link" xfId="820" builtinId="8" hidden="1"/>
    <cellStyle name="Link" xfId="822" builtinId="8" hidden="1"/>
    <cellStyle name="Link" xfId="824" builtinId="8" hidden="1"/>
    <cellStyle name="Link" xfId="826" builtinId="8" hidden="1"/>
    <cellStyle name="Link" xfId="828" builtinId="8" hidden="1"/>
    <cellStyle name="Link" xfId="830" builtinId="8" hidden="1"/>
    <cellStyle name="Link" xfId="832" builtinId="8" hidden="1"/>
    <cellStyle name="Link" xfId="834" builtinId="8" hidden="1"/>
    <cellStyle name="Link" xfId="836" builtinId="8" hidden="1"/>
    <cellStyle name="Link" xfId="838" builtinId="8" hidden="1"/>
    <cellStyle name="Link" xfId="840" builtinId="8" hidden="1"/>
    <cellStyle name="Link" xfId="842" builtinId="8" hidden="1"/>
    <cellStyle name="Link" xfId="844" builtinId="8" hidden="1"/>
    <cellStyle name="Link" xfId="846" builtinId="8" hidden="1"/>
    <cellStyle name="Link" xfId="848" builtinId="8" hidden="1"/>
    <cellStyle name="Link" xfId="850" builtinId="8" hidden="1"/>
    <cellStyle name="Link" xfId="852" builtinId="8" hidden="1"/>
    <cellStyle name="Link" xfId="854" builtinId="8" hidden="1"/>
    <cellStyle name="Link" xfId="856" builtinId="8" hidden="1"/>
    <cellStyle name="Link" xfId="858" builtinId="8" hidden="1"/>
    <cellStyle name="Link" xfId="860" builtinId="8" hidden="1"/>
    <cellStyle name="Link" xfId="862" builtinId="8" hidden="1"/>
    <cellStyle name="Link" xfId="864" builtinId="8" hidden="1"/>
    <cellStyle name="Link" xfId="866" builtinId="8" hidden="1"/>
    <cellStyle name="Link" xfId="868" builtinId="8" hidden="1"/>
    <cellStyle name="Link" xfId="870" builtinId="8" hidden="1"/>
    <cellStyle name="Link" xfId="872" builtinId="8" hidden="1"/>
    <cellStyle name="Link" xfId="874" builtinId="8" hidden="1"/>
    <cellStyle name="Link" xfId="876" builtinId="8" hidden="1"/>
    <cellStyle name="Link" xfId="878" builtinId="8" hidden="1"/>
    <cellStyle name="Link" xfId="880" builtinId="8" hidden="1"/>
    <cellStyle name="Link" xfId="882" builtinId="8" hidden="1"/>
    <cellStyle name="Link" xfId="884" builtinId="8" hidden="1"/>
    <cellStyle name="Link" xfId="886" builtinId="8" hidden="1"/>
    <cellStyle name="Link" xfId="888" builtinId="8" hidden="1"/>
    <cellStyle name="Link" xfId="890" builtinId="8" hidden="1"/>
    <cellStyle name="Link" xfId="892" builtinId="8" hidden="1"/>
    <cellStyle name="Link" xfId="894" builtinId="8" hidden="1"/>
    <cellStyle name="Link" xfId="896" builtinId="8" hidden="1"/>
    <cellStyle name="Link" xfId="898" builtinId="8" hidden="1"/>
    <cellStyle name="Link" xfId="900" builtinId="8" hidden="1"/>
    <cellStyle name="Link" xfId="902" builtinId="8" hidden="1"/>
    <cellStyle name="Link" xfId="904" builtinId="8" hidden="1"/>
    <cellStyle name="Link" xfId="906" builtinId="8" hidden="1"/>
    <cellStyle name="Link" xfId="908" builtinId="8" hidden="1"/>
    <cellStyle name="Link" xfId="910" builtinId="8" hidden="1"/>
    <cellStyle name="Link" xfId="912" builtinId="8" hidden="1"/>
    <cellStyle name="Link" xfId="914" builtinId="8" hidden="1"/>
    <cellStyle name="Link" xfId="916" builtinId="8" hidden="1"/>
    <cellStyle name="Link" xfId="918" builtinId="8" hidden="1"/>
    <cellStyle name="Link" xfId="920" builtinId="8" hidden="1"/>
    <cellStyle name="Link" xfId="922" builtinId="8" hidden="1"/>
    <cellStyle name="Link" xfId="924" builtinId="8" hidden="1"/>
    <cellStyle name="Link" xfId="926" builtinId="8" hidden="1"/>
    <cellStyle name="Link" xfId="928" builtinId="8" hidden="1"/>
    <cellStyle name="Link" xfId="930" builtinId="8" hidden="1"/>
    <cellStyle name="Link" xfId="932" builtinId="8" hidden="1"/>
    <cellStyle name="Link" xfId="934" builtinId="8" hidden="1"/>
    <cellStyle name="Link" xfId="936" builtinId="8" hidden="1"/>
    <cellStyle name="Link" xfId="938" builtinId="8" hidden="1"/>
    <cellStyle name="Link" xfId="940" builtinId="8" hidden="1"/>
    <cellStyle name="Link" xfId="942" builtinId="8" hidden="1"/>
    <cellStyle name="Link" xfId="944" builtinId="8" hidden="1"/>
    <cellStyle name="Link" xfId="946" builtinId="8" hidden="1"/>
    <cellStyle name="Link" xfId="948" builtinId="8" hidden="1"/>
    <cellStyle name="Link" xfId="950" builtinId="8" hidden="1"/>
    <cellStyle name="Link" xfId="952" builtinId="8" hidden="1"/>
    <cellStyle name="Link" xfId="954" builtinId="8" hidden="1"/>
    <cellStyle name="Link" xfId="956" builtinId="8" hidden="1"/>
    <cellStyle name="Link" xfId="958" builtinId="8" hidden="1"/>
    <cellStyle name="Link" xfId="960" builtinId="8" hidden="1"/>
    <cellStyle name="Link" xfId="962" builtinId="8" hidden="1"/>
    <cellStyle name="Link" xfId="964" builtinId="8" hidden="1"/>
    <cellStyle name="Link" xfId="966" builtinId="8" hidden="1"/>
    <cellStyle name="Link" xfId="968" builtinId="8" hidden="1"/>
    <cellStyle name="Link" xfId="970" builtinId="8" hidden="1"/>
    <cellStyle name="Link" xfId="972" builtinId="8" hidden="1"/>
    <cellStyle name="Link" xfId="974" builtinId="8" hidden="1"/>
    <cellStyle name="Link" xfId="976" builtinId="8" hidden="1"/>
    <cellStyle name="Link" xfId="978" builtinId="8" hidden="1"/>
    <cellStyle name="Link" xfId="980" builtinId="8" hidden="1"/>
    <cellStyle name="Link" xfId="982" builtinId="8" hidden="1"/>
    <cellStyle name="Link" xfId="984" builtinId="8" hidden="1"/>
    <cellStyle name="Link" xfId="986" builtinId="8" hidden="1"/>
    <cellStyle name="Link" xfId="988" builtinId="8" hidden="1"/>
    <cellStyle name="Link" xfId="990" builtinId="8" hidden="1"/>
    <cellStyle name="Link" xfId="992" builtinId="8" hidden="1"/>
    <cellStyle name="Link" xfId="994" builtinId="8" hidden="1"/>
    <cellStyle name="Link" xfId="996" builtinId="8" hidden="1"/>
    <cellStyle name="Link" xfId="998" builtinId="8" hidden="1"/>
    <cellStyle name="Link" xfId="1000" builtinId="8" hidden="1"/>
    <cellStyle name="Link" xfId="1002" builtinId="8" hidden="1"/>
    <cellStyle name="Link" xfId="1004" builtinId="8" hidden="1"/>
    <cellStyle name="Link" xfId="1006" builtinId="8" hidden="1"/>
    <cellStyle name="Link" xfId="1008" builtinId="8" hidden="1"/>
    <cellStyle name="Link" xfId="1010" builtinId="8" hidden="1"/>
    <cellStyle name="Link" xfId="1012" builtinId="8" hidden="1"/>
    <cellStyle name="Link" xfId="1014" builtinId="8" hidden="1"/>
    <cellStyle name="Link" xfId="1016" builtinId="8" hidden="1"/>
    <cellStyle name="Link" xfId="1018" builtinId="8" hidden="1"/>
    <cellStyle name="Link" xfId="1020" builtinId="8" hidden="1"/>
    <cellStyle name="Link" xfId="1022" builtinId="8" hidden="1"/>
    <cellStyle name="Link" xfId="1024" builtinId="8" hidden="1"/>
    <cellStyle name="Link" xfId="1026" builtinId="8" hidden="1"/>
    <cellStyle name="Link" xfId="1028" builtinId="8" hidden="1"/>
    <cellStyle name="Link" xfId="1030" builtinId="8" hidden="1"/>
    <cellStyle name="Link" xfId="1032" builtinId="8" hidden="1"/>
    <cellStyle name="Link" xfId="1034" builtinId="8" hidden="1"/>
    <cellStyle name="Link" xfId="1036" builtinId="8" hidden="1"/>
    <cellStyle name="Link" xfId="1038" builtinId="8" hidden="1"/>
    <cellStyle name="Link" xfId="1040" builtinId="8" hidden="1"/>
    <cellStyle name="Link" xfId="1042" builtinId="8" hidden="1"/>
    <cellStyle name="Link" xfId="1044" builtinId="8" hidden="1"/>
    <cellStyle name="Link" xfId="1046" builtinId="8" hidden="1"/>
    <cellStyle name="Link" xfId="1048" builtinId="8" hidden="1"/>
    <cellStyle name="Link" xfId="1050" builtinId="8" hidden="1"/>
    <cellStyle name="Link" xfId="1052" builtinId="8" hidden="1"/>
    <cellStyle name="Link" xfId="1054" builtinId="8" hidden="1"/>
    <cellStyle name="Link" xfId="1056" builtinId="8" hidden="1"/>
    <cellStyle name="Link" xfId="1058" builtinId="8" hidden="1"/>
    <cellStyle name="Link" xfId="1060" builtinId="8" hidden="1"/>
    <cellStyle name="Link" xfId="1062" builtinId="8" hidden="1"/>
    <cellStyle name="Link" xfId="1064" builtinId="8" hidden="1"/>
    <cellStyle name="Link" xfId="1066" builtinId="8" hidden="1"/>
    <cellStyle name="Link" xfId="1068" builtinId="8" hidden="1"/>
    <cellStyle name="Link" xfId="1070" builtinId="8" hidden="1"/>
    <cellStyle name="Link" xfId="1072" builtinId="8" hidden="1"/>
    <cellStyle name="Link" xfId="1074" builtinId="8" hidden="1"/>
    <cellStyle name="Link" xfId="1076" builtinId="8" hidden="1"/>
    <cellStyle name="Link" xfId="1078" builtinId="8" hidden="1"/>
    <cellStyle name="Link" xfId="1080" builtinId="8" hidden="1"/>
    <cellStyle name="Link" xfId="1082" builtinId="8" hidden="1"/>
    <cellStyle name="Link" xfId="1084" builtinId="8" hidden="1"/>
    <cellStyle name="Link" xfId="1086" builtinId="8" hidden="1"/>
    <cellStyle name="Link" xfId="1088" builtinId="8" hidden="1"/>
    <cellStyle name="Link" xfId="1090" builtinId="8" hidden="1"/>
    <cellStyle name="Link" xfId="1092" builtinId="8" hidden="1"/>
    <cellStyle name="Link" xfId="1094" builtinId="8" hidden="1"/>
    <cellStyle name="Link" xfId="1096" builtinId="8" hidden="1"/>
    <cellStyle name="Link" xfId="1098" builtinId="8" hidden="1"/>
    <cellStyle name="Link" xfId="1100" builtinId="8" hidden="1"/>
    <cellStyle name="Link" xfId="1102" builtinId="8" hidden="1"/>
    <cellStyle name="Link" xfId="1104" builtinId="8" hidden="1"/>
    <cellStyle name="Link" xfId="1106" builtinId="8" hidden="1"/>
    <cellStyle name="Link" xfId="1108" builtinId="8" hidden="1"/>
    <cellStyle name="Link" xfId="1110" builtinId="8" hidden="1"/>
    <cellStyle name="Link" xfId="1112" builtinId="8" hidden="1"/>
    <cellStyle name="Link" xfId="1114" builtinId="8" hidden="1"/>
    <cellStyle name="Link" xfId="1116" builtinId="8" hidden="1"/>
    <cellStyle name="Link" xfId="1118" builtinId="8" hidden="1"/>
    <cellStyle name="Link" xfId="1120" builtinId="8" hidden="1"/>
    <cellStyle name="Link" xfId="1122" builtinId="8" hidden="1"/>
    <cellStyle name="Link" xfId="1124" builtinId="8" hidden="1"/>
    <cellStyle name="Link" xfId="1126" builtinId="8" hidden="1"/>
    <cellStyle name="Link" xfId="1128" builtinId="8" hidden="1"/>
    <cellStyle name="Link" xfId="1130" builtinId="8" hidden="1"/>
    <cellStyle name="Link" xfId="1132" builtinId="8" hidden="1"/>
    <cellStyle name="Link" xfId="1134" builtinId="8" hidden="1"/>
    <cellStyle name="Link" xfId="1136" builtinId="8" hidden="1"/>
    <cellStyle name="Link" xfId="1138" builtinId="8" hidden="1"/>
    <cellStyle name="Link" xfId="1140" builtinId="8" hidden="1"/>
    <cellStyle name="Link" xfId="1142" builtinId="8" hidden="1"/>
    <cellStyle name="Link" xfId="1144" builtinId="8" hidden="1"/>
    <cellStyle name="Link" xfId="1146" builtinId="8" hidden="1"/>
    <cellStyle name="Link" xfId="1148" builtinId="8" hidden="1"/>
    <cellStyle name="Link" xfId="1150" builtinId="8" hidden="1"/>
    <cellStyle name="Link" xfId="1152" builtinId="8" hidden="1"/>
    <cellStyle name="Link" xfId="1154" builtinId="8" hidden="1"/>
    <cellStyle name="Link" xfId="1156" builtinId="8" hidden="1"/>
    <cellStyle name="Link" xfId="1158" builtinId="8" hidden="1"/>
    <cellStyle name="Link" xfId="1160" builtinId="8" hidden="1"/>
    <cellStyle name="Link" xfId="1162" builtinId="8" hidden="1"/>
    <cellStyle name="Link" xfId="1164" builtinId="8" hidden="1"/>
    <cellStyle name="Link" xfId="1166" builtinId="8" hidden="1"/>
    <cellStyle name="Link" xfId="1168" builtinId="8" hidden="1"/>
    <cellStyle name="Link" xfId="1170" builtinId="8" hidden="1"/>
    <cellStyle name="Link" xfId="1172" builtinId="8" hidden="1"/>
    <cellStyle name="Link" xfId="1174" builtinId="8" hidden="1"/>
    <cellStyle name="Link" xfId="1176" builtinId="8" hidden="1"/>
    <cellStyle name="Link" xfId="1178" builtinId="8" hidden="1"/>
    <cellStyle name="Link" xfId="1180" builtinId="8" hidden="1"/>
    <cellStyle name="Link" xfId="1182" builtinId="8" hidden="1"/>
    <cellStyle name="Link" xfId="1184" builtinId="8" hidden="1"/>
    <cellStyle name="Link" xfId="1186" builtinId="8" hidden="1"/>
    <cellStyle name="Link" xfId="1188" builtinId="8" hidden="1"/>
    <cellStyle name="Link" xfId="1190" builtinId="8" hidden="1"/>
    <cellStyle name="Link" xfId="1192" builtinId="8" hidden="1"/>
    <cellStyle name="Link" xfId="1194" builtinId="8" hidden="1"/>
    <cellStyle name="Link" xfId="1196" builtinId="8" hidden="1"/>
    <cellStyle name="Link" xfId="1198" builtinId="8" hidden="1"/>
    <cellStyle name="Link" xfId="1200" builtinId="8" hidden="1"/>
    <cellStyle name="Link" xfId="1202" builtinId="8" hidden="1"/>
    <cellStyle name="Link" xfId="1204" builtinId="8" hidden="1"/>
    <cellStyle name="Link" xfId="1206" builtinId="8" hidden="1"/>
    <cellStyle name="Link" xfId="1208" builtinId="8" hidden="1"/>
    <cellStyle name="Link" xfId="1210" builtinId="8" hidden="1"/>
    <cellStyle name="Link" xfId="1212" builtinId="8" hidden="1"/>
    <cellStyle name="Link" xfId="1214" builtinId="8" hidden="1"/>
    <cellStyle name="Link" xfId="1216" builtinId="8" hidden="1"/>
    <cellStyle name="Link" xfId="1218" builtinId="8" hidden="1"/>
    <cellStyle name="Link" xfId="1220" builtinId="8" hidden="1"/>
    <cellStyle name="Link" xfId="1222" builtinId="8" hidden="1"/>
    <cellStyle name="Link" xfId="1224" builtinId="8" hidden="1"/>
    <cellStyle name="Link" xfId="1226" builtinId="8" hidden="1"/>
    <cellStyle name="Link" xfId="1228" builtinId="8" hidden="1"/>
    <cellStyle name="Link" xfId="1230" builtinId="8" hidden="1"/>
    <cellStyle name="Link" xfId="1232" builtinId="8" hidden="1"/>
    <cellStyle name="Link" xfId="1234" builtinId="8" hidden="1"/>
    <cellStyle name="Link" xfId="1236" builtinId="8" hidden="1"/>
    <cellStyle name="Link" xfId="1238" builtinId="8" hidden="1"/>
    <cellStyle name="Link" xfId="1240" builtinId="8" hidden="1"/>
    <cellStyle name="Link" xfId="1242" builtinId="8" hidden="1"/>
    <cellStyle name="Link" xfId="1244" builtinId="8" hidden="1"/>
    <cellStyle name="Link" xfId="1246" builtinId="8" hidden="1"/>
    <cellStyle name="Link" xfId="1248" builtinId="8" hidden="1"/>
    <cellStyle name="Link" xfId="1250" builtinId="8" hidden="1"/>
    <cellStyle name="Link" xfId="1252" builtinId="8" hidden="1"/>
    <cellStyle name="Link" xfId="1254" builtinId="8" hidden="1"/>
    <cellStyle name="Link" xfId="1256" builtinId="8" hidden="1"/>
    <cellStyle name="Link" xfId="1258" builtinId="8" hidden="1"/>
    <cellStyle name="Link" xfId="1260" builtinId="8" hidden="1"/>
    <cellStyle name="Link" xfId="1262" builtinId="8" hidden="1"/>
    <cellStyle name="Link" xfId="1264" builtinId="8" hidden="1"/>
    <cellStyle name="Link" xfId="1266" builtinId="8" hidden="1"/>
    <cellStyle name="Link" xfId="1268" builtinId="8" hidden="1"/>
    <cellStyle name="Link" xfId="1270" builtinId="8" hidden="1"/>
    <cellStyle name="Link" xfId="1272" builtinId="8" hidden="1"/>
    <cellStyle name="Link" xfId="1274" builtinId="8" hidden="1"/>
    <cellStyle name="Link" xfId="1276" builtinId="8" hidden="1"/>
    <cellStyle name="Link" xfId="1278" builtinId="8" hidden="1"/>
    <cellStyle name="Link" xfId="1280" builtinId="8" hidden="1"/>
    <cellStyle name="Link" xfId="1282" builtinId="8" hidden="1"/>
    <cellStyle name="Link" xfId="1284" builtinId="8" hidden="1"/>
    <cellStyle name="Link" xfId="1286" builtinId="8" hidden="1"/>
    <cellStyle name="Link" xfId="1288" builtinId="8" hidden="1"/>
    <cellStyle name="Link" xfId="1290" builtinId="8" hidden="1"/>
    <cellStyle name="Link" xfId="1292" builtinId="8" hidden="1"/>
    <cellStyle name="Link" xfId="1294" builtinId="8" hidden="1"/>
    <cellStyle name="Link" xfId="1296" builtinId="8" hidden="1"/>
    <cellStyle name="Link" xfId="1298" builtinId="8" hidden="1"/>
    <cellStyle name="Link" xfId="1300" builtinId="8" hidden="1"/>
    <cellStyle name="Link" xfId="1302" builtinId="8" hidden="1"/>
    <cellStyle name="Link" xfId="1304" builtinId="8" hidden="1"/>
    <cellStyle name="Link" xfId="1306" builtinId="8" hidden="1"/>
    <cellStyle name="Link" xfId="1308" builtinId="8" hidden="1"/>
    <cellStyle name="Link" xfId="1310" builtinId="8" hidden="1"/>
    <cellStyle name="Link" xfId="1312" builtinId="8" hidden="1"/>
    <cellStyle name="Link" xfId="1314" builtinId="8" hidden="1"/>
    <cellStyle name="Link" xfId="1316" builtinId="8" hidden="1"/>
    <cellStyle name="Link" xfId="1318" builtinId="8" hidden="1"/>
    <cellStyle name="Link" xfId="1320" builtinId="8" hidden="1"/>
    <cellStyle name="Link" xfId="1322" builtinId="8" hidden="1"/>
    <cellStyle name="Link" xfId="1324" builtinId="8" hidden="1"/>
    <cellStyle name="Link" xfId="1326" builtinId="8" hidden="1"/>
    <cellStyle name="Link" xfId="1328" builtinId="8" hidden="1"/>
    <cellStyle name="Link" xfId="1330" builtinId="8" hidden="1"/>
    <cellStyle name="Link" xfId="1332" builtinId="8" hidden="1"/>
    <cellStyle name="Link" xfId="1334" builtinId="8" hidden="1"/>
    <cellStyle name="Link" xfId="1336" builtinId="8" hidden="1"/>
    <cellStyle name="Link" xfId="1338" builtinId="8" hidden="1"/>
    <cellStyle name="Link" xfId="1340" builtinId="8" hidden="1"/>
    <cellStyle name="Link" xfId="1342" builtinId="8" hidden="1"/>
    <cellStyle name="Link" xfId="1344" builtinId="8" hidden="1"/>
    <cellStyle name="Link" xfId="1346" builtinId="8" hidden="1"/>
    <cellStyle name="Link" xfId="1348" builtinId="8" hidden="1"/>
    <cellStyle name="Link" xfId="1350" builtinId="8" hidden="1"/>
    <cellStyle name="Link" xfId="1352" builtinId="8" hidden="1"/>
    <cellStyle name="Link" xfId="1354" builtinId="8" hidden="1"/>
    <cellStyle name="Link" xfId="1356" builtinId="8" hidden="1"/>
    <cellStyle name="Link" xfId="1358" builtinId="8" hidden="1"/>
    <cellStyle name="Link" xfId="1360" builtinId="8" hidden="1"/>
    <cellStyle name="Link" xfId="1362" builtinId="8" hidden="1"/>
    <cellStyle name="Link" xfId="1364" builtinId="8" hidden="1"/>
    <cellStyle name="Link" xfId="1366" builtinId="8" hidden="1"/>
    <cellStyle name="Link" xfId="1368" builtinId="8" hidden="1"/>
    <cellStyle name="Link" xfId="1370" builtinId="8" hidden="1"/>
    <cellStyle name="Link" xfId="1372" builtinId="8" hidden="1"/>
    <cellStyle name="Link" xfId="1374" builtinId="8" hidden="1"/>
    <cellStyle name="Link" xfId="1376" builtinId="8" hidden="1"/>
    <cellStyle name="Link" xfId="1378" builtinId="8" hidden="1"/>
    <cellStyle name="Link" xfId="1380" builtinId="8" hidden="1"/>
    <cellStyle name="Link" xfId="1382" builtinId="8" hidden="1"/>
    <cellStyle name="Link" xfId="1384" builtinId="8" hidden="1"/>
    <cellStyle name="Link" xfId="1386" builtinId="8" hidden="1"/>
    <cellStyle name="Link" xfId="1388" builtinId="8" hidden="1"/>
    <cellStyle name="Link" xfId="1390" builtinId="8" hidden="1"/>
    <cellStyle name="Link" xfId="1392" builtinId="8" hidden="1"/>
    <cellStyle name="Link" xfId="1394" builtinId="8" hidden="1"/>
    <cellStyle name="Link" xfId="1396" builtinId="8" hidden="1"/>
    <cellStyle name="Link" xfId="1398" builtinId="8" hidden="1"/>
    <cellStyle name="Link" xfId="1400" builtinId="8" hidden="1"/>
    <cellStyle name="Link" xfId="1402" builtinId="8" hidden="1"/>
    <cellStyle name="Link" xfId="1404" builtinId="8" hidden="1"/>
    <cellStyle name="Link" xfId="1406" builtinId="8" hidden="1"/>
    <cellStyle name="Link" xfId="1408" builtinId="8" hidden="1"/>
    <cellStyle name="Link" xfId="1410" builtinId="8" hidden="1"/>
    <cellStyle name="Link" xfId="1412" builtinId="8" hidden="1"/>
    <cellStyle name="Link" xfId="1414" builtinId="8" hidden="1"/>
    <cellStyle name="Link" xfId="1416" builtinId="8" hidden="1"/>
    <cellStyle name="Link" xfId="1418" builtinId="8" hidden="1"/>
    <cellStyle name="Link" xfId="1420" builtinId="8" hidden="1"/>
    <cellStyle name="Link" xfId="1422" builtinId="8" hidden="1"/>
    <cellStyle name="Link" xfId="1424" builtinId="8" hidden="1"/>
    <cellStyle name="Link" xfId="1426" builtinId="8" hidden="1"/>
    <cellStyle name="Link" xfId="1428" builtinId="8" hidden="1"/>
    <cellStyle name="Link" xfId="1430" builtinId="8" hidden="1"/>
    <cellStyle name="Link" xfId="1432" builtinId="8" hidden="1"/>
    <cellStyle name="Link" xfId="1434" builtinId="8" hidden="1"/>
    <cellStyle name="Link" xfId="1436" builtinId="8" hidden="1"/>
    <cellStyle name="Link" xfId="1438" builtinId="8" hidden="1"/>
    <cellStyle name="Link" xfId="1440" builtinId="8" hidden="1"/>
    <cellStyle name="Link" xfId="1442" builtinId="8" hidden="1"/>
    <cellStyle name="Link" xfId="1444" builtinId="8" hidden="1"/>
    <cellStyle name="Link" xfId="1446" builtinId="8" hidden="1"/>
    <cellStyle name="Link" xfId="1448" builtinId="8" hidden="1"/>
    <cellStyle name="Link" xfId="1450" builtinId="8" hidden="1"/>
    <cellStyle name="Link" xfId="1452" builtinId="8" hidden="1"/>
    <cellStyle name="Link" xfId="1454" builtinId="8" hidden="1"/>
    <cellStyle name="Link" xfId="1456" builtinId="8" hidden="1"/>
    <cellStyle name="Link" xfId="1458" builtinId="8" hidden="1"/>
    <cellStyle name="Link" xfId="1460" builtinId="8" hidden="1"/>
    <cellStyle name="Link" xfId="1462" builtinId="8" hidden="1"/>
    <cellStyle name="Link" xfId="1464" builtinId="8" hidden="1"/>
    <cellStyle name="Link" xfId="1466" builtinId="8" hidden="1"/>
    <cellStyle name="Link" xfId="1468" builtinId="8" hidden="1"/>
    <cellStyle name="Normal" xfId="0" builtinId="0"/>
    <cellStyle name="Normal 2" xfId="709" xr:uid="{00000000-0005-0000-0000-0000BB050000}"/>
    <cellStyle name="Procent 2" xfId="774" xr:uid="{00000000-0005-0000-0000-0000BC050000}"/>
    <cellStyle name="Valuta 2" xfId="775" xr:uid="{00000000-0005-0000-0000-0000BD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14</xdr:row>
      <xdr:rowOff>63503</xdr:rowOff>
    </xdr:from>
    <xdr:to>
      <xdr:col>4</xdr:col>
      <xdr:colOff>1120775</xdr:colOff>
      <xdr:row>14</xdr:row>
      <xdr:rowOff>610580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622803"/>
          <a:ext cx="711200" cy="54707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444500</xdr:colOff>
      <xdr:row>15</xdr:row>
      <xdr:rowOff>38100</xdr:rowOff>
    </xdr:from>
    <xdr:to>
      <xdr:col>4</xdr:col>
      <xdr:colOff>1066799</xdr:colOff>
      <xdr:row>15</xdr:row>
      <xdr:rowOff>591021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0" y="5842000"/>
          <a:ext cx="622299" cy="552921"/>
        </a:xfrm>
        <a:prstGeom prst="rect">
          <a:avLst/>
        </a:prstGeom>
      </xdr:spPr>
    </xdr:pic>
    <xdr:clientData/>
  </xdr:twoCellAnchor>
  <xdr:twoCellAnchor editAs="oneCell">
    <xdr:from>
      <xdr:col>4</xdr:col>
      <xdr:colOff>36988</xdr:colOff>
      <xdr:row>18</xdr:row>
      <xdr:rowOff>79671</xdr:rowOff>
    </xdr:from>
    <xdr:to>
      <xdr:col>4</xdr:col>
      <xdr:colOff>1330325</xdr:colOff>
      <xdr:row>18</xdr:row>
      <xdr:rowOff>622300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088" y="7661571"/>
          <a:ext cx="1474312" cy="54262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22</xdr:row>
      <xdr:rowOff>114300</xdr:rowOff>
    </xdr:from>
    <xdr:to>
      <xdr:col>4</xdr:col>
      <xdr:colOff>1330325</xdr:colOff>
      <xdr:row>22</xdr:row>
      <xdr:rowOff>533400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D659EF2-F35B-0742-B7E7-B22E2F8D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1400" y="6896100"/>
          <a:ext cx="1320800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</xdr:colOff>
      <xdr:row>13</xdr:row>
      <xdr:rowOff>132080</xdr:rowOff>
    </xdr:from>
    <xdr:to>
      <xdr:col>4</xdr:col>
      <xdr:colOff>1329690</xdr:colOff>
      <xdr:row>13</xdr:row>
      <xdr:rowOff>531197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ABD51857-276E-6743-A02D-06A0FB0B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5040" y="4409440"/>
          <a:ext cx="1442720" cy="399117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13</xdr:row>
      <xdr:rowOff>251460</xdr:rowOff>
    </xdr:from>
    <xdr:to>
      <xdr:col>8</xdr:col>
      <xdr:colOff>12065</xdr:colOff>
      <xdr:row>14</xdr:row>
      <xdr:rowOff>22860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36D7390-7184-460D-B768-F7354CC0D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5360" y="4175760"/>
          <a:ext cx="12160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&#216;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lon12"/>
      <sheetName val="Pæd"/>
      <sheetName val="timelon"/>
      <sheetName val="aarslon"/>
      <sheetName val="mdslon"/>
      <sheetName val="natpenge og tillæg"/>
      <sheetName val="Klassificering 09"/>
      <sheetName val="Uv.till."/>
      <sheetName val="intervalløn"/>
      <sheetName val="ATP"/>
      <sheetName val="Løn&amp;arb.tid"/>
    </sheetNames>
    <sheetDataSet>
      <sheetData sheetId="0"/>
      <sheetData sheetId="1"/>
      <sheetData sheetId="2"/>
      <sheetData sheetId="3">
        <row r="1">
          <cell r="A1">
            <v>1.7162E-2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"/>
  <sheetViews>
    <sheetView tabSelected="1" zoomScale="125" workbookViewId="0">
      <selection sqref="A1:I1"/>
    </sheetView>
  </sheetViews>
  <sheetFormatPr defaultColWidth="8.85546875" defaultRowHeight="15"/>
  <cols>
    <col min="1" max="1" width="29.140625" style="34" customWidth="1"/>
    <col min="2" max="2" width="16.28515625" customWidth="1"/>
    <col min="3" max="3" width="24.28515625" hidden="1" customWidth="1"/>
    <col min="4" max="4" width="9.7109375" hidden="1" customWidth="1"/>
    <col min="5" max="5" width="20" bestFit="1" customWidth="1"/>
    <col min="6" max="6" width="4.7109375" customWidth="1"/>
    <col min="7" max="7" width="8.85546875" customWidth="1"/>
    <col min="8" max="8" width="10.7109375" customWidth="1"/>
    <col min="9" max="9" width="6.42578125" customWidth="1"/>
  </cols>
  <sheetData>
    <row r="1" spans="1:21" ht="35.1" customHeight="1">
      <c r="A1" s="835"/>
      <c r="B1" s="835"/>
      <c r="C1" s="835"/>
      <c r="D1" s="835"/>
      <c r="E1" s="835"/>
      <c r="F1" s="835"/>
      <c r="G1" s="835"/>
      <c r="H1" s="835"/>
      <c r="I1" s="835"/>
    </row>
    <row r="2" spans="1:21" ht="30" customHeight="1">
      <c r="A2" s="821"/>
      <c r="B2" s="821"/>
      <c r="C2" s="821"/>
      <c r="D2" s="821"/>
      <c r="E2" s="821"/>
      <c r="F2" s="821"/>
      <c r="G2" s="821"/>
      <c r="H2" s="821"/>
      <c r="I2" s="821"/>
    </row>
    <row r="3" spans="1:21" ht="36.950000000000003" customHeight="1">
      <c r="A3" s="835" t="s">
        <v>79</v>
      </c>
      <c r="B3" s="835"/>
      <c r="C3" s="835"/>
      <c r="D3" s="835"/>
      <c r="E3" s="835"/>
      <c r="F3" s="835"/>
      <c r="G3" s="835"/>
      <c r="H3" s="835"/>
      <c r="I3" s="835"/>
      <c r="M3" s="833"/>
      <c r="N3" s="834"/>
      <c r="O3" s="834"/>
      <c r="P3" s="834"/>
      <c r="Q3" s="834"/>
      <c r="R3" s="834"/>
      <c r="S3" s="834"/>
      <c r="T3" s="834"/>
      <c r="U3" s="834"/>
    </row>
    <row r="4" spans="1:21" ht="26.1" customHeight="1">
      <c r="A4" s="835" t="s">
        <v>316</v>
      </c>
      <c r="B4" s="835"/>
      <c r="C4" s="835"/>
      <c r="D4" s="835"/>
      <c r="E4" s="835"/>
      <c r="F4" s="835"/>
      <c r="G4" s="835"/>
      <c r="H4" s="835"/>
      <c r="I4" s="835"/>
    </row>
    <row r="5" spans="1:21" s="31" customFormat="1" ht="14.1" customHeight="1">
      <c r="A5" s="821"/>
      <c r="B5" s="821"/>
      <c r="C5" s="821"/>
      <c r="D5" s="821"/>
      <c r="E5" s="821"/>
      <c r="F5" s="821"/>
      <c r="G5" s="821"/>
      <c r="H5" s="821"/>
      <c r="I5" s="821"/>
    </row>
    <row r="6" spans="1:21" s="31" customFormat="1" ht="21" customHeight="1">
      <c r="A6" s="836" t="s">
        <v>442</v>
      </c>
      <c r="B6" s="836"/>
      <c r="C6" s="836"/>
      <c r="D6" s="836"/>
      <c r="E6" s="836"/>
      <c r="F6" s="836"/>
      <c r="G6" s="836"/>
      <c r="H6" s="836"/>
      <c r="I6" s="836"/>
    </row>
    <row r="7" spans="1:21" ht="18" customHeight="1">
      <c r="A7" s="823" t="s">
        <v>454</v>
      </c>
      <c r="B7" s="823"/>
      <c r="C7" s="823"/>
      <c r="D7" s="823"/>
      <c r="E7" s="823"/>
      <c r="F7" s="823"/>
      <c r="G7" s="823"/>
      <c r="H7" s="823"/>
      <c r="I7" s="823"/>
    </row>
    <row r="8" spans="1:21" s="31" customFormat="1" ht="29.1" customHeight="1">
      <c r="A8" s="837" t="s">
        <v>443</v>
      </c>
      <c r="B8" s="837"/>
      <c r="C8" s="837"/>
      <c r="D8" s="837"/>
      <c r="E8" s="837"/>
      <c r="F8" s="837"/>
      <c r="G8" s="837"/>
      <c r="H8" s="837"/>
      <c r="I8" s="837"/>
    </row>
    <row r="9" spans="1:21" ht="18" customHeight="1">
      <c r="A9" s="823"/>
      <c r="B9" s="823"/>
      <c r="C9" s="823"/>
      <c r="D9" s="823"/>
      <c r="E9" s="823"/>
      <c r="F9" s="823"/>
      <c r="G9" s="823"/>
      <c r="H9" s="823"/>
      <c r="I9" s="823"/>
    </row>
    <row r="10" spans="1:21" ht="20.100000000000001" customHeight="1">
      <c r="A10" s="839" t="s">
        <v>403</v>
      </c>
      <c r="B10" s="839"/>
      <c r="C10" s="839"/>
      <c r="D10" s="839"/>
      <c r="E10" s="839"/>
      <c r="F10" s="839"/>
      <c r="G10" s="839"/>
      <c r="H10" s="839"/>
      <c r="I10" s="839"/>
    </row>
    <row r="11" spans="1:21" ht="21.95" customHeight="1">
      <c r="A11" s="838" t="s">
        <v>444</v>
      </c>
      <c r="B11" s="838"/>
      <c r="C11" s="838"/>
      <c r="D11" s="838"/>
      <c r="E11" s="838"/>
      <c r="F11" s="838"/>
      <c r="G11" s="838"/>
      <c r="H11" s="838"/>
      <c r="I11" s="838"/>
    </row>
    <row r="12" spans="1:21" ht="20.100000000000001" customHeight="1">
      <c r="A12" s="838"/>
      <c r="B12" s="838"/>
      <c r="C12" s="838"/>
      <c r="D12" s="838"/>
      <c r="E12" s="838"/>
      <c r="F12" s="838"/>
      <c r="G12" s="838"/>
      <c r="H12" s="838"/>
      <c r="I12" s="838"/>
    </row>
    <row r="13" spans="1:21" ht="21" customHeight="1">
      <c r="A13" s="840"/>
      <c r="B13" s="840"/>
      <c r="C13" s="840"/>
      <c r="D13" s="840"/>
      <c r="E13" s="840"/>
      <c r="F13" s="840"/>
      <c r="G13" s="840"/>
      <c r="H13" s="840"/>
      <c r="I13" s="840"/>
    </row>
    <row r="14" spans="1:21" ht="51" customHeight="1">
      <c r="A14" s="824" t="s">
        <v>82</v>
      </c>
      <c r="B14" s="824"/>
      <c r="C14" s="824"/>
      <c r="D14" s="824"/>
      <c r="E14" s="32"/>
      <c r="F14" s="828" t="s">
        <v>288</v>
      </c>
      <c r="G14" s="828"/>
      <c r="H14" s="828"/>
      <c r="I14" s="828"/>
    </row>
    <row r="15" spans="1:21" ht="51" customHeight="1">
      <c r="A15" s="824" t="s">
        <v>80</v>
      </c>
      <c r="B15" s="824"/>
      <c r="C15" s="824"/>
      <c r="D15" s="824"/>
      <c r="E15" s="32"/>
      <c r="F15" s="822" t="s">
        <v>289</v>
      </c>
      <c r="G15" s="822"/>
      <c r="H15" s="822"/>
      <c r="I15" s="822"/>
    </row>
    <row r="16" spans="1:21" ht="48" customHeight="1">
      <c r="A16" s="824" t="s">
        <v>282</v>
      </c>
      <c r="B16" s="824"/>
      <c r="C16" s="824"/>
      <c r="D16" s="824"/>
      <c r="E16" s="825"/>
      <c r="F16" s="822" t="s">
        <v>310</v>
      </c>
      <c r="G16" s="822"/>
      <c r="H16" s="822"/>
      <c r="I16" s="822"/>
    </row>
    <row r="17" spans="1:9" ht="2.1" hidden="1" customHeight="1">
      <c r="A17" s="824"/>
      <c r="B17" s="824"/>
      <c r="C17" s="824"/>
      <c r="D17" s="824"/>
      <c r="E17" s="825"/>
      <c r="F17" s="822" t="s">
        <v>361</v>
      </c>
      <c r="G17" s="822"/>
      <c r="H17" s="822"/>
      <c r="I17" s="822"/>
    </row>
    <row r="18" spans="1:9" ht="12.95" hidden="1" customHeight="1">
      <c r="A18" s="824"/>
      <c r="B18" s="824"/>
      <c r="C18" s="824"/>
      <c r="D18" s="824"/>
      <c r="E18" s="825"/>
      <c r="F18" s="822"/>
      <c r="G18" s="822"/>
      <c r="H18" s="822"/>
      <c r="I18" s="822"/>
    </row>
    <row r="19" spans="1:9" ht="50.1" customHeight="1">
      <c r="A19" s="826" t="s">
        <v>81</v>
      </c>
      <c r="B19" s="826"/>
      <c r="C19" s="38"/>
      <c r="D19" s="38"/>
      <c r="E19" s="825"/>
      <c r="F19" s="822"/>
      <c r="G19" s="822"/>
      <c r="H19" s="822"/>
      <c r="I19" s="822"/>
    </row>
    <row r="20" spans="1:9" ht="2.1" hidden="1" customHeight="1">
      <c r="A20" s="826"/>
      <c r="B20" s="826"/>
      <c r="C20" s="38"/>
      <c r="D20" s="38"/>
      <c r="E20" s="825"/>
      <c r="F20" s="822"/>
      <c r="G20" s="822"/>
      <c r="H20" s="822"/>
      <c r="I20" s="822"/>
    </row>
    <row r="21" spans="1:9" ht="9.9499999999999993" hidden="1" customHeight="1">
      <c r="A21" s="826"/>
      <c r="B21" s="826"/>
      <c r="C21" s="38"/>
      <c r="D21" s="38"/>
      <c r="E21" s="825"/>
      <c r="F21" s="822"/>
      <c r="G21" s="822"/>
      <c r="H21" s="822"/>
      <c r="I21" s="822"/>
    </row>
    <row r="22" spans="1:9" ht="0.95" hidden="1" customHeight="1">
      <c r="A22" s="826"/>
      <c r="B22" s="826"/>
      <c r="C22" s="38"/>
      <c r="D22" s="38"/>
      <c r="E22" s="825"/>
      <c r="F22" s="822" t="s">
        <v>290</v>
      </c>
      <c r="G22" s="822"/>
      <c r="H22" s="822"/>
      <c r="I22" s="822"/>
    </row>
    <row r="23" spans="1:9" ht="51" customHeight="1">
      <c r="A23" s="754" t="s">
        <v>362</v>
      </c>
      <c r="B23" s="754"/>
      <c r="C23" s="754"/>
      <c r="D23" s="754"/>
      <c r="E23" s="754"/>
      <c r="F23" s="822" t="s">
        <v>400</v>
      </c>
      <c r="G23" s="822"/>
      <c r="H23" s="822"/>
      <c r="I23" s="822"/>
    </row>
    <row r="24" spans="1:9" ht="15" customHeight="1">
      <c r="A24" s="752"/>
      <c r="B24" s="752"/>
      <c r="C24" s="752"/>
      <c r="D24" s="752"/>
      <c r="E24" s="752"/>
    </row>
    <row r="25" spans="1:9" ht="45.95" customHeight="1">
      <c r="A25" s="827" t="s">
        <v>127</v>
      </c>
      <c r="B25" s="827"/>
      <c r="C25" s="827"/>
      <c r="D25" s="827"/>
      <c r="E25" s="827"/>
      <c r="F25" s="827"/>
      <c r="G25" s="827"/>
      <c r="H25" s="827"/>
      <c r="I25" s="827"/>
    </row>
    <row r="26" spans="1:9" ht="45.95" customHeight="1">
      <c r="A26" s="557"/>
      <c r="B26" s="557"/>
      <c r="C26" s="557"/>
      <c r="D26" s="557"/>
      <c r="E26" s="557"/>
      <c r="F26" s="753"/>
      <c r="G26" s="753"/>
      <c r="H26" s="753"/>
      <c r="I26" s="753"/>
    </row>
    <row r="27" spans="1:9" ht="84.95" customHeight="1">
      <c r="A27" s="821"/>
      <c r="B27" s="821"/>
      <c r="C27" s="821"/>
      <c r="D27" s="821"/>
      <c r="E27" s="15"/>
    </row>
    <row r="28" spans="1:9" ht="12.95" customHeight="1">
      <c r="B28" s="829"/>
      <c r="C28" s="829"/>
      <c r="D28" s="829"/>
      <c r="E28" s="15"/>
    </row>
    <row r="29" spans="1:9">
      <c r="A29" s="35"/>
      <c r="B29" s="14"/>
      <c r="C29" s="14"/>
      <c r="D29" s="14"/>
      <c r="E29" s="14"/>
    </row>
    <row r="30" spans="1:9">
      <c r="A30" s="821"/>
      <c r="B30" s="821"/>
      <c r="C30" s="821"/>
      <c r="D30" s="821"/>
      <c r="E30" s="15"/>
      <c r="F30" s="556"/>
      <c r="G30" s="556"/>
      <c r="H30" s="556"/>
      <c r="I30" s="556"/>
    </row>
    <row r="31" spans="1:9">
      <c r="A31" s="556"/>
      <c r="B31" s="556"/>
      <c r="C31" s="556"/>
      <c r="D31" s="556"/>
      <c r="E31" s="556"/>
    </row>
    <row r="32" spans="1:9">
      <c r="A32" s="821"/>
      <c r="B32" s="821"/>
      <c r="C32" s="821"/>
      <c r="D32" s="821"/>
      <c r="E32" s="15"/>
    </row>
    <row r="33" spans="1:9">
      <c r="A33" s="821"/>
      <c r="B33" s="821"/>
      <c r="C33" s="821"/>
      <c r="D33" s="821"/>
      <c r="E33" s="15"/>
      <c r="H33" s="821"/>
      <c r="I33" s="821"/>
    </row>
    <row r="34" spans="1:9">
      <c r="A34" s="821"/>
      <c r="B34" s="821"/>
      <c r="C34" s="821"/>
      <c r="D34" s="821"/>
      <c r="E34" s="15"/>
      <c r="H34" s="821"/>
      <c r="I34" s="821"/>
    </row>
    <row r="35" spans="1:9">
      <c r="A35" s="821"/>
      <c r="B35" s="821"/>
      <c r="C35" s="821"/>
      <c r="D35" s="821"/>
      <c r="E35" s="15"/>
      <c r="H35" s="821"/>
      <c r="I35" s="821"/>
    </row>
    <row r="36" spans="1:9">
      <c r="A36" s="821"/>
      <c r="B36" s="821"/>
      <c r="C36" s="821"/>
      <c r="D36" s="821"/>
      <c r="E36" s="15"/>
      <c r="H36" s="821"/>
      <c r="I36" s="821"/>
    </row>
    <row r="37" spans="1:9">
      <c r="A37" s="821"/>
      <c r="B37" s="821"/>
      <c r="C37" s="821"/>
      <c r="D37" s="821"/>
      <c r="E37" s="15"/>
      <c r="H37" s="821"/>
      <c r="I37" s="821"/>
    </row>
    <row r="38" spans="1:9">
      <c r="A38" s="821"/>
      <c r="B38" s="821"/>
      <c r="C38" s="821"/>
      <c r="D38" s="821"/>
      <c r="E38" s="15"/>
      <c r="H38" s="821"/>
      <c r="I38" s="821"/>
    </row>
    <row r="39" spans="1:9">
      <c r="A39" s="821"/>
      <c r="B39" s="821"/>
      <c r="C39" s="821"/>
      <c r="D39" s="821"/>
      <c r="E39" s="15"/>
      <c r="H39" s="821"/>
      <c r="I39" s="821"/>
    </row>
    <row r="40" spans="1:9">
      <c r="A40" s="35"/>
      <c r="B40" s="15"/>
      <c r="C40" s="15"/>
      <c r="D40" s="15"/>
      <c r="E40" s="15"/>
      <c r="H40" s="821"/>
      <c r="I40" s="821"/>
    </row>
    <row r="41" spans="1:9" ht="18">
      <c r="A41" s="38"/>
      <c r="B41" s="829"/>
      <c r="C41" s="829"/>
      <c r="D41" s="829"/>
      <c r="E41" s="36"/>
      <c r="H41" s="821"/>
      <c r="I41" s="821"/>
    </row>
    <row r="42" spans="1:9">
      <c r="A42" s="35"/>
      <c r="B42" s="14"/>
      <c r="C42" s="14"/>
      <c r="D42" s="14"/>
      <c r="E42" s="14"/>
      <c r="H42" s="821"/>
      <c r="I42" s="821"/>
    </row>
    <row r="43" spans="1:9" ht="15.75">
      <c r="A43" s="832"/>
      <c r="B43" s="832"/>
      <c r="C43" s="832"/>
      <c r="D43" s="832"/>
      <c r="E43" s="33"/>
    </row>
    <row r="44" spans="1:9" ht="18">
      <c r="A44" s="831"/>
      <c r="B44" s="831"/>
      <c r="C44" s="831"/>
      <c r="D44" s="831"/>
      <c r="E44" s="36"/>
    </row>
    <row r="45" spans="1:9">
      <c r="A45" s="35"/>
      <c r="B45" s="14"/>
      <c r="C45" s="14"/>
      <c r="D45" s="14"/>
      <c r="E45" s="14"/>
    </row>
    <row r="46" spans="1:9">
      <c r="A46" s="35"/>
      <c r="B46" s="14"/>
      <c r="C46" s="14"/>
      <c r="D46" s="14"/>
      <c r="E46" s="14"/>
    </row>
    <row r="47" spans="1:9">
      <c r="A47" s="35"/>
      <c r="B47" s="14"/>
      <c r="C47" s="14"/>
      <c r="D47" s="14"/>
      <c r="E47" s="14"/>
    </row>
    <row r="48" spans="1:9">
      <c r="A48" s="35"/>
      <c r="B48" s="14"/>
      <c r="C48" s="14"/>
      <c r="D48" s="14"/>
      <c r="E48" s="14"/>
    </row>
    <row r="49" spans="1:9">
      <c r="A49" s="35"/>
      <c r="B49" s="14"/>
      <c r="C49" s="14"/>
      <c r="D49" s="14"/>
      <c r="E49" s="14"/>
    </row>
    <row r="52" spans="1:9">
      <c r="I52" s="37"/>
    </row>
    <row r="55" spans="1:9">
      <c r="I55" s="30"/>
    </row>
    <row r="56" spans="1:9">
      <c r="I56" s="830"/>
    </row>
    <row r="57" spans="1:9">
      <c r="I57" s="830"/>
    </row>
    <row r="58" spans="1:9">
      <c r="I58" s="830"/>
    </row>
  </sheetData>
  <sheetProtection sheet="1" objects="1" scenarios="1"/>
  <mergeCells count="53">
    <mergeCell ref="A6:I6"/>
    <mergeCell ref="A14:D14"/>
    <mergeCell ref="A8:I8"/>
    <mergeCell ref="A11:I11"/>
    <mergeCell ref="A10:I10"/>
    <mergeCell ref="A7:I7"/>
    <mergeCell ref="A13:I13"/>
    <mergeCell ref="A12:I12"/>
    <mergeCell ref="M3:U3"/>
    <mergeCell ref="A1:I1"/>
    <mergeCell ref="A4:I4"/>
    <mergeCell ref="A3:I3"/>
    <mergeCell ref="A5:I5"/>
    <mergeCell ref="A2:I2"/>
    <mergeCell ref="I56:I58"/>
    <mergeCell ref="A44:D44"/>
    <mergeCell ref="A30:D30"/>
    <mergeCell ref="A32:D32"/>
    <mergeCell ref="A33:D33"/>
    <mergeCell ref="A34:D34"/>
    <mergeCell ref="A35:D35"/>
    <mergeCell ref="A36:D36"/>
    <mergeCell ref="A37:D37"/>
    <mergeCell ref="A38:D38"/>
    <mergeCell ref="A39:D39"/>
    <mergeCell ref="A43:D43"/>
    <mergeCell ref="H35:I35"/>
    <mergeCell ref="H36:I36"/>
    <mergeCell ref="H42:I42"/>
    <mergeCell ref="B41:D41"/>
    <mergeCell ref="H40:I40"/>
    <mergeCell ref="H41:I41"/>
    <mergeCell ref="B28:D28"/>
    <mergeCell ref="H33:I33"/>
    <mergeCell ref="H34:I34"/>
    <mergeCell ref="H37:I37"/>
    <mergeCell ref="H38:I38"/>
    <mergeCell ref="H39:I39"/>
    <mergeCell ref="A27:D27"/>
    <mergeCell ref="F16:I16"/>
    <mergeCell ref="A9:I9"/>
    <mergeCell ref="F23:I23"/>
    <mergeCell ref="F22:I22"/>
    <mergeCell ref="F17:I19"/>
    <mergeCell ref="F20:I21"/>
    <mergeCell ref="A15:D15"/>
    <mergeCell ref="A16:D18"/>
    <mergeCell ref="E16:E18"/>
    <mergeCell ref="A19:B22"/>
    <mergeCell ref="E19:E22"/>
    <mergeCell ref="A25:I25"/>
    <mergeCell ref="F14:I14"/>
    <mergeCell ref="F15:I15"/>
  </mergeCells>
  <phoneticPr fontId="7" type="noConversion"/>
  <pageMargins left="0.25590551181102361" right="0.25590551181102361" top="0.36000000000000004" bottom="0.16" header="0.30000000000000004" footer="0.30000000000000004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82"/>
  <sheetViews>
    <sheetView view="pageBreakPreview" zoomScale="85" zoomScaleSheetLayoutView="85" workbookViewId="0">
      <selection activeCell="J34" sqref="J34"/>
    </sheetView>
  </sheetViews>
  <sheetFormatPr defaultColWidth="8.85546875" defaultRowHeight="12.75"/>
  <cols>
    <col min="1" max="2" width="11.7109375" style="207" customWidth="1"/>
    <col min="3" max="4" width="13.85546875" style="207" customWidth="1"/>
    <col min="5" max="5" width="13.85546875" style="208" customWidth="1"/>
    <col min="6" max="6" width="13.85546875" style="207" customWidth="1"/>
    <col min="7" max="8" width="13.85546875" style="209" customWidth="1"/>
    <col min="9" max="10" width="13.85546875" style="207" customWidth="1"/>
    <col min="11" max="11" width="11.7109375" style="207" customWidth="1"/>
    <col min="12" max="16384" width="8.85546875" style="207"/>
  </cols>
  <sheetData>
    <row r="1" spans="1:10" s="2" customFormat="1" ht="21.95" customHeight="1">
      <c r="A1" s="1053" t="s">
        <v>19</v>
      </c>
      <c r="B1" s="1054"/>
      <c r="C1" s="1054"/>
      <c r="D1" s="1054"/>
      <c r="E1" s="1054"/>
      <c r="F1" s="1054"/>
      <c r="G1" s="1054"/>
      <c r="H1" s="1054"/>
      <c r="I1" s="1054"/>
      <c r="J1" s="1055"/>
    </row>
    <row r="2" spans="1:10" s="2" customFormat="1" ht="21.95" customHeight="1">
      <c r="A2" s="1067" t="s">
        <v>329</v>
      </c>
      <c r="B2" s="1068"/>
      <c r="C2" s="1068"/>
      <c r="D2" s="1068"/>
      <c r="E2" s="1068"/>
      <c r="F2" s="1068"/>
      <c r="G2" s="1068"/>
      <c r="H2" s="1068"/>
      <c r="I2" s="1068"/>
      <c r="J2" s="1069"/>
    </row>
    <row r="3" spans="1:10" s="515" customFormat="1" ht="24.95" customHeight="1">
      <c r="A3" s="1067" t="str">
        <f>'Forside 1'!A6:I6</f>
        <v>Gældende fra 1. november 2025</v>
      </c>
      <c r="B3" s="1068"/>
      <c r="C3" s="1068"/>
      <c r="D3" s="1068"/>
      <c r="E3" s="1068"/>
      <c r="F3" s="1068"/>
      <c r="G3" s="1068"/>
      <c r="H3" s="1068"/>
      <c r="I3" s="1068"/>
      <c r="J3" s="1069"/>
    </row>
    <row r="4" spans="1:10" s="515" customFormat="1" ht="24.95" customHeight="1">
      <c r="A4" s="1514" t="s">
        <v>369</v>
      </c>
      <c r="B4" s="1515"/>
      <c r="C4" s="1515"/>
      <c r="D4" s="1515"/>
      <c r="E4" s="1515"/>
      <c r="F4" s="1515"/>
      <c r="G4" s="1515"/>
      <c r="H4" s="1515"/>
      <c r="I4" s="1515"/>
      <c r="J4" s="1516"/>
    </row>
    <row r="5" spans="1:10" s="2" customFormat="1" ht="18.95" customHeight="1" thickBot="1">
      <c r="A5" s="1511" t="s">
        <v>370</v>
      </c>
      <c r="B5" s="1512"/>
      <c r="C5" s="1512"/>
      <c r="D5" s="1512"/>
      <c r="E5" s="1512"/>
      <c r="F5" s="1512"/>
      <c r="G5" s="1512"/>
      <c r="H5" s="1512"/>
      <c r="I5" s="1512"/>
      <c r="J5" s="1513"/>
    </row>
    <row r="6" spans="1:10" ht="21" thickBot="1">
      <c r="A6" s="1404"/>
      <c r="B6" s="1404"/>
      <c r="C6" s="1404"/>
      <c r="D6" s="1404"/>
      <c r="E6" s="1404"/>
      <c r="F6" s="1404"/>
      <c r="G6" s="1404"/>
      <c r="H6" s="1404"/>
    </row>
    <row r="7" spans="1:10" ht="18">
      <c r="A7" s="1394" t="s">
        <v>330</v>
      </c>
      <c r="B7" s="1395"/>
      <c r="C7" s="1395"/>
      <c r="D7" s="1395"/>
      <c r="E7" s="1395"/>
      <c r="F7" s="1395"/>
      <c r="G7" s="1395"/>
      <c r="H7" s="1395"/>
      <c r="I7" s="1395"/>
      <c r="J7" s="1396"/>
    </row>
    <row r="8" spans="1:10" ht="15.75" thickBot="1">
      <c r="A8" s="1488" t="s">
        <v>331</v>
      </c>
      <c r="B8" s="1489"/>
      <c r="C8" s="1489"/>
      <c r="D8" s="1489"/>
      <c r="E8" s="1489"/>
      <c r="F8" s="1489"/>
      <c r="G8" s="1489"/>
      <c r="H8" s="1489"/>
      <c r="I8" s="1489"/>
      <c r="J8" s="1490"/>
    </row>
    <row r="9" spans="1:10" ht="15.95" customHeight="1" thickBot="1">
      <c r="A9" s="1491" t="s">
        <v>342</v>
      </c>
      <c r="B9" s="1492"/>
      <c r="C9" s="1492"/>
      <c r="D9" s="1492"/>
      <c r="E9" s="1492"/>
      <c r="F9" s="1493"/>
      <c r="G9" s="1491" t="s">
        <v>165</v>
      </c>
      <c r="H9" s="1492"/>
      <c r="I9" s="1492"/>
      <c r="J9" s="1493"/>
    </row>
    <row r="10" spans="1:10" ht="30" customHeight="1" thickBot="1">
      <c r="A10" s="660" t="s">
        <v>57</v>
      </c>
      <c r="B10" s="661" t="s">
        <v>72</v>
      </c>
      <c r="C10" s="662" t="s">
        <v>73</v>
      </c>
      <c r="D10" s="662" t="s">
        <v>74</v>
      </c>
      <c r="E10" s="662" t="s">
        <v>75</v>
      </c>
      <c r="F10" s="663" t="s">
        <v>76</v>
      </c>
      <c r="G10" s="660" t="s">
        <v>182</v>
      </c>
      <c r="H10" s="680" t="s">
        <v>183</v>
      </c>
      <c r="I10" s="675" t="s">
        <v>184</v>
      </c>
      <c r="J10" s="757">
        <v>0.17299999999999999</v>
      </c>
    </row>
    <row r="11" spans="1:10" ht="15.95" customHeight="1">
      <c r="A11" s="339">
        <v>9</v>
      </c>
      <c r="B11" s="657">
        <f>'Statens skalatrin'!D31</f>
        <v>21841.919999999998</v>
      </c>
      <c r="C11" s="658">
        <f>'Statens skalatrin'!F31</f>
        <v>22277.67</v>
      </c>
      <c r="D11" s="658">
        <f>'Statens skalatrin'!H31</f>
        <v>22579.58</v>
      </c>
      <c r="E11" s="658">
        <f>'Statens skalatrin'!J31</f>
        <v>23015.33</v>
      </c>
      <c r="F11" s="659">
        <f>'Statens skalatrin'!L31</f>
        <v>23317.25</v>
      </c>
      <c r="G11" s="755">
        <f>'Statens skalatrin'!O31</f>
        <v>20335.28</v>
      </c>
      <c r="H11" s="758">
        <f>J11*1/3</f>
        <v>1172.6666666666667</v>
      </c>
      <c r="I11" s="759">
        <f>J11*2/3</f>
        <v>2345.3333333333335</v>
      </c>
      <c r="J11" s="760">
        <f>ROUND(G11*$J$10,2)</f>
        <v>3518</v>
      </c>
    </row>
    <row r="12" spans="1:10" ht="15.95" customHeight="1">
      <c r="A12" s="656">
        <v>10</v>
      </c>
      <c r="B12" s="654">
        <f>'Statens skalatrin'!D34</f>
        <v>22208.75</v>
      </c>
      <c r="C12" s="639">
        <f>'Statens skalatrin'!F34</f>
        <v>22655.58</v>
      </c>
      <c r="D12" s="639">
        <f>'Statens skalatrin'!H34</f>
        <v>22964.83</v>
      </c>
      <c r="E12" s="639">
        <f>'Statens skalatrin'!J34</f>
        <v>23411.67</v>
      </c>
      <c r="F12" s="644">
        <f>'Statens skalatrin'!L34</f>
        <v>23721.08</v>
      </c>
      <c r="G12" s="619">
        <f>'Statens skalatrin'!O34</f>
        <v>20679.23</v>
      </c>
      <c r="H12" s="761">
        <f t="shared" ref="H12:H16" si="0">J12*1/3</f>
        <v>1192.5033333333333</v>
      </c>
      <c r="I12" s="638">
        <f t="shared" ref="I12:I16" si="1">J12*2/3</f>
        <v>2385.0066666666667</v>
      </c>
      <c r="J12" s="664">
        <f t="shared" ref="J12:J16" si="2">ROUND(G12*$J$10,2)</f>
        <v>3577.51</v>
      </c>
    </row>
    <row r="13" spans="1:10" ht="15.95" customHeight="1">
      <c r="A13" s="656">
        <v>11</v>
      </c>
      <c r="B13" s="654">
        <f>'Statens skalatrin'!D37</f>
        <v>22498.25</v>
      </c>
      <c r="C13" s="639">
        <f>'Statens skalatrin'!F37</f>
        <v>22956.17</v>
      </c>
      <c r="D13" s="639">
        <f>'Statens skalatrin'!H37</f>
        <v>23273.17</v>
      </c>
      <c r="E13" s="639">
        <f>'Statens skalatrin'!J37</f>
        <v>23731.08</v>
      </c>
      <c r="F13" s="644">
        <f>'Statens skalatrin'!L37</f>
        <v>24048.080000000002</v>
      </c>
      <c r="G13" s="619">
        <f>'Statens skalatrin'!O37</f>
        <v>21032.57</v>
      </c>
      <c r="H13" s="761">
        <f t="shared" si="0"/>
        <v>1212.8766666666668</v>
      </c>
      <c r="I13" s="638">
        <f t="shared" si="1"/>
        <v>2425.7533333333336</v>
      </c>
      <c r="J13" s="664">
        <f t="shared" si="2"/>
        <v>3638.63</v>
      </c>
    </row>
    <row r="14" spans="1:10" ht="15.95" customHeight="1">
      <c r="A14" s="656">
        <v>12</v>
      </c>
      <c r="B14" s="654">
        <f>'Statens skalatrin'!D40</f>
        <v>22885.58</v>
      </c>
      <c r="C14" s="639">
        <f>'Statens skalatrin'!F40</f>
        <v>23355</v>
      </c>
      <c r="D14" s="639">
        <f>'Statens skalatrin'!H40</f>
        <v>23680.17</v>
      </c>
      <c r="E14" s="639">
        <f>'Statens skalatrin'!J40</f>
        <v>24149.42</v>
      </c>
      <c r="F14" s="644">
        <f>'Statens skalatrin'!L40</f>
        <v>24474.42</v>
      </c>
      <c r="G14" s="619">
        <f>'Statens skalatrin'!O40</f>
        <v>21395.67</v>
      </c>
      <c r="H14" s="761">
        <f t="shared" si="0"/>
        <v>1233.8166666666666</v>
      </c>
      <c r="I14" s="638">
        <f t="shared" si="1"/>
        <v>2467.6333333333332</v>
      </c>
      <c r="J14" s="664">
        <f t="shared" si="2"/>
        <v>3701.45</v>
      </c>
    </row>
    <row r="15" spans="1:10" ht="15.95" customHeight="1">
      <c r="A15" s="656">
        <v>13</v>
      </c>
      <c r="B15" s="654">
        <f>'Statens skalatrin'!D43</f>
        <v>23283.83</v>
      </c>
      <c r="C15" s="639">
        <f>'Statens skalatrin'!F43</f>
        <v>23765</v>
      </c>
      <c r="D15" s="639">
        <f>'Statens skalatrin'!H43</f>
        <v>24098.17</v>
      </c>
      <c r="E15" s="639">
        <f>'Statens skalatrin'!J43</f>
        <v>24579.58</v>
      </c>
      <c r="F15" s="644">
        <f>'Statens skalatrin'!L43</f>
        <v>24912.58</v>
      </c>
      <c r="G15" s="619">
        <f>'Statens skalatrin'!O43</f>
        <v>21768.74</v>
      </c>
      <c r="H15" s="761">
        <f t="shared" si="0"/>
        <v>1255.33</v>
      </c>
      <c r="I15" s="638">
        <f t="shared" si="1"/>
        <v>2510.66</v>
      </c>
      <c r="J15" s="664">
        <f t="shared" si="2"/>
        <v>3765.99</v>
      </c>
    </row>
    <row r="16" spans="1:10" ht="15.95" customHeight="1" thickBot="1">
      <c r="A16" s="290">
        <v>14</v>
      </c>
      <c r="B16" s="655">
        <f>'Statens skalatrin'!D46</f>
        <v>23692.92</v>
      </c>
      <c r="C16" s="647">
        <f>'Statens skalatrin'!F46</f>
        <v>24186.33</v>
      </c>
      <c r="D16" s="647">
        <f>'Statens skalatrin'!H46</f>
        <v>24527.83</v>
      </c>
      <c r="E16" s="647">
        <f>'Statens skalatrin'!J46</f>
        <v>25021.17</v>
      </c>
      <c r="F16" s="648">
        <f>'Statens skalatrin'!L46</f>
        <v>25362.67</v>
      </c>
      <c r="G16" s="756">
        <f>'Statens skalatrin'!O46</f>
        <v>22152.13</v>
      </c>
      <c r="H16" s="762">
        <f t="shared" si="0"/>
        <v>1277.44</v>
      </c>
      <c r="I16" s="649">
        <f t="shared" si="1"/>
        <v>2554.88</v>
      </c>
      <c r="J16" s="763">
        <f t="shared" si="2"/>
        <v>3832.32</v>
      </c>
    </row>
    <row r="17" spans="1:11" ht="15" customHeight="1" thickBot="1">
      <c r="A17" s="726"/>
      <c r="B17" s="703"/>
      <c r="C17" s="650"/>
      <c r="D17" s="650"/>
      <c r="E17" s="650"/>
      <c r="F17" s="650"/>
      <c r="G17" s="667"/>
      <c r="H17" s="651"/>
      <c r="I17" s="651"/>
      <c r="J17" s="651"/>
      <c r="K17" s="651"/>
    </row>
    <row r="18" spans="1:11" ht="20.100000000000001" customHeight="1">
      <c r="A18" s="1394" t="s">
        <v>332</v>
      </c>
      <c r="B18" s="1395"/>
      <c r="C18" s="1395"/>
      <c r="D18" s="1395"/>
      <c r="E18" s="1395"/>
      <c r="F18" s="1395"/>
      <c r="G18" s="1395"/>
      <c r="H18" s="1395"/>
      <c r="I18" s="1395"/>
      <c r="J18" s="1396"/>
    </row>
    <row r="19" spans="1:11" ht="20.100000000000001" customHeight="1" thickBot="1">
      <c r="A19" s="1488" t="s">
        <v>331</v>
      </c>
      <c r="B19" s="1489"/>
      <c r="C19" s="1489"/>
      <c r="D19" s="1489"/>
      <c r="E19" s="1489"/>
      <c r="F19" s="1489"/>
      <c r="G19" s="1489"/>
      <c r="H19" s="1489"/>
      <c r="I19" s="1489"/>
      <c r="J19" s="1490"/>
    </row>
    <row r="20" spans="1:11" ht="20.100000000000001" customHeight="1" thickBot="1">
      <c r="A20" s="1491" t="s">
        <v>342</v>
      </c>
      <c r="B20" s="1492"/>
      <c r="C20" s="1492"/>
      <c r="D20" s="1492"/>
      <c r="E20" s="1492"/>
      <c r="F20" s="1493"/>
      <c r="G20" s="1491" t="s">
        <v>165</v>
      </c>
      <c r="H20" s="1494"/>
      <c r="I20" s="1494"/>
      <c r="J20" s="1495"/>
    </row>
    <row r="21" spans="1:11" ht="30" customHeight="1" thickBot="1">
      <c r="A21" s="660" t="s">
        <v>57</v>
      </c>
      <c r="B21" s="680" t="s">
        <v>72</v>
      </c>
      <c r="C21" s="675" t="s">
        <v>73</v>
      </c>
      <c r="D21" s="675" t="s">
        <v>74</v>
      </c>
      <c r="E21" s="675" t="s">
        <v>75</v>
      </c>
      <c r="F21" s="676" t="s">
        <v>76</v>
      </c>
      <c r="G21" s="422" t="s">
        <v>182</v>
      </c>
      <c r="H21" s="665" t="s">
        <v>183</v>
      </c>
      <c r="I21" s="662" t="s">
        <v>184</v>
      </c>
      <c r="J21" s="666">
        <f>J10</f>
        <v>0.17299999999999999</v>
      </c>
    </row>
    <row r="22" spans="1:11" ht="15.95" customHeight="1">
      <c r="A22" s="668">
        <v>16</v>
      </c>
      <c r="B22" s="677">
        <f>'Statens skalatrin'!D52</f>
        <v>24435.33</v>
      </c>
      <c r="C22" s="678">
        <f>'Statens skalatrin'!F52</f>
        <v>24953.919999999998</v>
      </c>
      <c r="D22" s="678">
        <f>'Statens skalatrin'!H52</f>
        <v>25313</v>
      </c>
      <c r="E22" s="678">
        <f>'Statens skalatrin'!J52</f>
        <v>25831.5</v>
      </c>
      <c r="F22" s="679">
        <f>'Statens skalatrin'!L52</f>
        <v>26190.67</v>
      </c>
      <c r="G22" s="672">
        <f>'Statens skalatrin'!O52</f>
        <v>22950.66</v>
      </c>
      <c r="H22" s="758">
        <f>J22*1/3</f>
        <v>1323.4866666666667</v>
      </c>
      <c r="I22" s="759">
        <f>J22*2/3</f>
        <v>2646.9733333333334</v>
      </c>
      <c r="J22" s="760">
        <f>ROUND(G22*$J$10,2)</f>
        <v>3970.46</v>
      </c>
    </row>
    <row r="23" spans="1:11" ht="15.95" customHeight="1">
      <c r="A23" s="642">
        <v>18</v>
      </c>
      <c r="B23" s="643">
        <f>'Statens skalatrin'!D58</f>
        <v>25335.08</v>
      </c>
      <c r="C23" s="639">
        <f>'Statens skalatrin'!F58</f>
        <v>25880.42</v>
      </c>
      <c r="D23" s="639">
        <f>'Statens skalatrin'!H58</f>
        <v>26257.919999999998</v>
      </c>
      <c r="E23" s="639">
        <f>'Statens skalatrin'!J58</f>
        <v>26803.08</v>
      </c>
      <c r="F23" s="644">
        <f>'Statens skalatrin'!L58</f>
        <v>27180.5</v>
      </c>
      <c r="G23" s="673">
        <f>'Statens skalatrin'!O58</f>
        <v>23793.72</v>
      </c>
      <c r="H23" s="761">
        <f t="shared" ref="H23:H27" si="3">J23*1/3</f>
        <v>1372.1033333333335</v>
      </c>
      <c r="I23" s="638">
        <f t="shared" ref="I23:I27" si="4">J23*2/3</f>
        <v>2744.2066666666669</v>
      </c>
      <c r="J23" s="664">
        <f t="shared" ref="J23:J27" si="5">ROUND(G23*$J$10,2)</f>
        <v>4116.3100000000004</v>
      </c>
    </row>
    <row r="24" spans="1:11" s="516" customFormat="1" ht="15.95" customHeight="1">
      <c r="A24" s="642">
        <v>20</v>
      </c>
      <c r="B24" s="643">
        <f>'Statens skalatrin'!D64</f>
        <v>26029</v>
      </c>
      <c r="C24" s="639">
        <f>'Statens skalatrin'!F64</f>
        <v>26602.25</v>
      </c>
      <c r="D24" s="639">
        <f>'Statens skalatrin'!H64</f>
        <v>26999.25</v>
      </c>
      <c r="E24" s="639">
        <f>'Statens skalatrin'!J64</f>
        <v>27572.58</v>
      </c>
      <c r="F24" s="644">
        <f>'Statens skalatrin'!L64</f>
        <v>27969.42</v>
      </c>
      <c r="G24" s="673">
        <f>'Statens skalatrin'!O64</f>
        <v>24683.73</v>
      </c>
      <c r="H24" s="761">
        <f t="shared" si="3"/>
        <v>1423.43</v>
      </c>
      <c r="I24" s="638">
        <f t="shared" si="4"/>
        <v>2846.86</v>
      </c>
      <c r="J24" s="664">
        <f t="shared" si="5"/>
        <v>4270.29</v>
      </c>
    </row>
    <row r="25" spans="1:11" s="516" customFormat="1" ht="15.95" customHeight="1">
      <c r="A25" s="642">
        <v>22</v>
      </c>
      <c r="B25" s="643">
        <f>'Statens skalatrin'!D70</f>
        <v>26859</v>
      </c>
      <c r="C25" s="639">
        <f>'Statens skalatrin'!F70</f>
        <v>27447.08</v>
      </c>
      <c r="D25" s="639">
        <f>'Statens skalatrin'!H70</f>
        <v>27854.17</v>
      </c>
      <c r="E25" s="639">
        <f>'Statens skalatrin'!J70</f>
        <v>28442.17</v>
      </c>
      <c r="F25" s="644">
        <f>'Statens skalatrin'!L70</f>
        <v>28849.33</v>
      </c>
      <c r="G25" s="673">
        <f>'Statens skalatrin'!O70</f>
        <v>25610.55</v>
      </c>
      <c r="H25" s="761">
        <f t="shared" si="3"/>
        <v>1476.8766666666668</v>
      </c>
      <c r="I25" s="638">
        <f t="shared" si="4"/>
        <v>2953.7533333333336</v>
      </c>
      <c r="J25" s="664">
        <f t="shared" si="5"/>
        <v>4430.63</v>
      </c>
    </row>
    <row r="26" spans="1:11" ht="15.95" customHeight="1">
      <c r="A26" s="642">
        <v>24</v>
      </c>
      <c r="B26" s="643">
        <f>'Statens skalatrin'!D76</f>
        <v>27727.67</v>
      </c>
      <c r="C26" s="639">
        <f>'Statens skalatrin'!F76</f>
        <v>28283.33</v>
      </c>
      <c r="D26" s="639">
        <f>'Statens skalatrin'!H76</f>
        <v>28668.080000000002</v>
      </c>
      <c r="E26" s="639">
        <f>'Statens skalatrin'!J76</f>
        <v>29223.83</v>
      </c>
      <c r="F26" s="644">
        <f>'Statens skalatrin'!L76</f>
        <v>29608.58</v>
      </c>
      <c r="G26" s="673">
        <f>'Statens skalatrin'!O76</f>
        <v>26547.88</v>
      </c>
      <c r="H26" s="761">
        <f t="shared" si="3"/>
        <v>1530.9266666666665</v>
      </c>
      <c r="I26" s="638">
        <f t="shared" si="4"/>
        <v>3061.853333333333</v>
      </c>
      <c r="J26" s="664">
        <f t="shared" si="5"/>
        <v>4592.78</v>
      </c>
    </row>
    <row r="27" spans="1:11" ht="15.95" customHeight="1" thickBot="1">
      <c r="A27" s="652">
        <v>26</v>
      </c>
      <c r="B27" s="646">
        <f>'Statens skalatrin'!D82</f>
        <v>28639.42</v>
      </c>
      <c r="C27" s="647">
        <f>'Statens skalatrin'!F82</f>
        <v>29159.08</v>
      </c>
      <c r="D27" s="647">
        <f>'Statens skalatrin'!H82</f>
        <v>29518.92</v>
      </c>
      <c r="E27" s="647">
        <f>'Statens skalatrin'!J82</f>
        <v>30038.67</v>
      </c>
      <c r="F27" s="648">
        <f>'Statens skalatrin'!L82</f>
        <v>30398.42</v>
      </c>
      <c r="G27" s="674">
        <f>'Statens skalatrin'!O82</f>
        <v>27535.8</v>
      </c>
      <c r="H27" s="762">
        <f t="shared" si="3"/>
        <v>1587.8966666666665</v>
      </c>
      <c r="I27" s="649">
        <f t="shared" si="4"/>
        <v>3175.7933333333331</v>
      </c>
      <c r="J27" s="763">
        <f t="shared" si="5"/>
        <v>4763.6899999999996</v>
      </c>
    </row>
    <row r="28" spans="1:11" ht="20.100000000000001" customHeight="1" thickBot="1">
      <c r="A28" s="727"/>
      <c r="B28" s="704"/>
      <c r="C28" s="650"/>
      <c r="D28" s="650"/>
      <c r="E28" s="650"/>
      <c r="F28" s="650"/>
      <c r="G28" s="650"/>
      <c r="H28" s="650"/>
      <c r="I28" s="651"/>
      <c r="J28" s="651"/>
      <c r="K28" s="653"/>
    </row>
    <row r="29" spans="1:11" ht="20.100000000000001" customHeight="1">
      <c r="A29" s="1394" t="s">
        <v>333</v>
      </c>
      <c r="B29" s="1395"/>
      <c r="C29" s="1395"/>
      <c r="D29" s="1395"/>
      <c r="E29" s="1395"/>
      <c r="F29" s="1395"/>
      <c r="G29" s="1395"/>
      <c r="H29" s="1395"/>
      <c r="I29" s="1395"/>
      <c r="J29" s="1396"/>
    </row>
    <row r="30" spans="1:11" ht="20.100000000000001" customHeight="1" thickBot="1">
      <c r="A30" s="1488" t="s">
        <v>331</v>
      </c>
      <c r="B30" s="1489"/>
      <c r="C30" s="1489"/>
      <c r="D30" s="1489"/>
      <c r="E30" s="1489"/>
      <c r="F30" s="1489"/>
      <c r="G30" s="1489"/>
      <c r="H30" s="1489"/>
      <c r="I30" s="1489"/>
      <c r="J30" s="1490"/>
    </row>
    <row r="31" spans="1:11" s="249" customFormat="1" ht="20.100000000000001" customHeight="1" thickBot="1">
      <c r="A31" s="1491" t="s">
        <v>342</v>
      </c>
      <c r="B31" s="1492"/>
      <c r="C31" s="1492"/>
      <c r="D31" s="1492"/>
      <c r="E31" s="1492"/>
      <c r="F31" s="1493"/>
      <c r="G31" s="1491" t="s">
        <v>165</v>
      </c>
      <c r="H31" s="1492"/>
      <c r="I31" s="1492"/>
      <c r="J31" s="1493"/>
    </row>
    <row r="32" spans="1:11" ht="30" customHeight="1" thickBot="1">
      <c r="A32" s="422" t="s">
        <v>57</v>
      </c>
      <c r="B32" s="665" t="s">
        <v>72</v>
      </c>
      <c r="C32" s="662" t="s">
        <v>73</v>
      </c>
      <c r="D32" s="662" t="s">
        <v>74</v>
      </c>
      <c r="E32" s="662" t="s">
        <v>75</v>
      </c>
      <c r="F32" s="670" t="s">
        <v>76</v>
      </c>
      <c r="G32" s="660" t="s">
        <v>182</v>
      </c>
      <c r="H32" s="683" t="s">
        <v>183</v>
      </c>
      <c r="I32" s="660" t="s">
        <v>184</v>
      </c>
      <c r="J32" s="684">
        <f>J10</f>
        <v>0.17299999999999999</v>
      </c>
    </row>
    <row r="33" spans="1:11" ht="15.95" customHeight="1">
      <c r="A33" s="656">
        <v>27</v>
      </c>
      <c r="B33" s="657">
        <f>'Statens skalatrin'!D85</f>
        <v>29110.5</v>
      </c>
      <c r="C33" s="658">
        <f>'Statens skalatrin'!F85</f>
        <v>29610.080000000002</v>
      </c>
      <c r="D33" s="658">
        <f>'Statens skalatrin'!H85</f>
        <v>29956.33</v>
      </c>
      <c r="E33" s="658">
        <f>'Statens skalatrin'!J85</f>
        <v>30456.080000000002</v>
      </c>
      <c r="F33" s="671">
        <f>'Statens skalatrin'!L85</f>
        <v>30802.17</v>
      </c>
      <c r="G33" s="682">
        <f>'Statens skalatrin'!O85</f>
        <v>28049.11</v>
      </c>
      <c r="H33" s="758">
        <f>J33*1/3</f>
        <v>1617.5</v>
      </c>
      <c r="I33" s="759">
        <f>J33*2/3</f>
        <v>3235</v>
      </c>
      <c r="J33" s="760">
        <f>ROUND(G33*$J$10,2)</f>
        <v>4852.5</v>
      </c>
    </row>
    <row r="34" spans="1:11" ht="15.95" customHeight="1">
      <c r="A34" s="656">
        <v>29</v>
      </c>
      <c r="B34" s="654">
        <f>'Statens skalatrin'!D91</f>
        <v>30084.58</v>
      </c>
      <c r="C34" s="639">
        <f>'Statens skalatrin'!F91</f>
        <v>30540.5</v>
      </c>
      <c r="D34" s="639">
        <f>'Statens skalatrin'!H91</f>
        <v>30856.25</v>
      </c>
      <c r="E34" s="639">
        <f>'Statens skalatrin'!J91</f>
        <v>31312.17</v>
      </c>
      <c r="F34" s="681">
        <f>'Statens skalatrin'!L91</f>
        <v>31627.75</v>
      </c>
      <c r="G34" s="569">
        <f>'Statens skalatrin'!O91</f>
        <v>29116.61</v>
      </c>
      <c r="H34" s="761">
        <f t="shared" ref="H34:H36" si="6">J34*1/3</f>
        <v>1679.0566666666666</v>
      </c>
      <c r="I34" s="638">
        <f t="shared" ref="I34:I36" si="7">J34*2/3</f>
        <v>3358.1133333333332</v>
      </c>
      <c r="J34" s="664">
        <f t="shared" ref="J34:J36" si="8">ROUND(G34*$J$10,2)</f>
        <v>5037.17</v>
      </c>
    </row>
    <row r="35" spans="1:11" ht="15.95" customHeight="1">
      <c r="A35" s="656">
        <v>31</v>
      </c>
      <c r="B35" s="654">
        <f>'Statens skalatrin'!D97</f>
        <v>31102.75</v>
      </c>
      <c r="C35" s="639">
        <f>'Statens skalatrin'!F97</f>
        <v>31508.75</v>
      </c>
      <c r="D35" s="639">
        <f>'Statens skalatrin'!H97</f>
        <v>31790.080000000002</v>
      </c>
      <c r="E35" s="639">
        <f>'Statens skalatrin'!J97</f>
        <v>32196.080000000002</v>
      </c>
      <c r="F35" s="681">
        <f>'Statens skalatrin'!L97</f>
        <v>32477.25</v>
      </c>
      <c r="G35" s="569">
        <f>'Statens skalatrin'!O97</f>
        <v>30240.57</v>
      </c>
      <c r="H35" s="761">
        <f t="shared" si="6"/>
        <v>1743.8733333333332</v>
      </c>
      <c r="I35" s="638">
        <f t="shared" si="7"/>
        <v>3487.7466666666664</v>
      </c>
      <c r="J35" s="664">
        <f t="shared" si="8"/>
        <v>5231.62</v>
      </c>
    </row>
    <row r="36" spans="1:11" s="516" customFormat="1" ht="15.95" customHeight="1" thickBot="1">
      <c r="A36" s="290">
        <v>33</v>
      </c>
      <c r="B36" s="685">
        <f>'Statens skalatrin'!D103</f>
        <v>32166.67</v>
      </c>
      <c r="C36" s="640">
        <f>'Statens skalatrin'!F103</f>
        <v>32516.33</v>
      </c>
      <c r="D36" s="640">
        <f>'Statens skalatrin'!H103</f>
        <v>32758.67</v>
      </c>
      <c r="E36" s="640">
        <f>'Statens skalatrin'!J103</f>
        <v>33108.42</v>
      </c>
      <c r="F36" s="686">
        <f>'Statens skalatrin'!L103</f>
        <v>33350.58</v>
      </c>
      <c r="G36" s="570">
        <f>'Statens skalatrin'!O103</f>
        <v>31424.03</v>
      </c>
      <c r="H36" s="764">
        <f t="shared" si="6"/>
        <v>1812.12</v>
      </c>
      <c r="I36" s="641">
        <f t="shared" si="7"/>
        <v>3624.24</v>
      </c>
      <c r="J36" s="763">
        <f t="shared" si="8"/>
        <v>5436.36</v>
      </c>
    </row>
    <row r="37" spans="1:11" s="687" customFormat="1" ht="20.100000000000001" customHeight="1" thickBot="1">
      <c r="A37" s="727"/>
      <c r="B37" s="704"/>
      <c r="C37" s="650"/>
      <c r="D37" s="650"/>
      <c r="E37" s="650"/>
      <c r="F37" s="650"/>
      <c r="G37" s="650"/>
      <c r="H37" s="650"/>
      <c r="I37" s="651"/>
      <c r="J37" s="651"/>
      <c r="K37" s="653"/>
    </row>
    <row r="38" spans="1:11" s="516" customFormat="1" ht="20.100000000000001" customHeight="1">
      <c r="A38" s="1394" t="s">
        <v>334</v>
      </c>
      <c r="B38" s="1395"/>
      <c r="C38" s="1395"/>
      <c r="D38" s="1395"/>
      <c r="E38" s="1395"/>
      <c r="F38" s="1395"/>
      <c r="G38" s="1395"/>
      <c r="H38" s="1395"/>
      <c r="I38" s="1395"/>
      <c r="J38" s="1396"/>
    </row>
    <row r="39" spans="1:11" ht="20.100000000000001" customHeight="1" thickBot="1">
      <c r="A39" s="1488" t="s">
        <v>331</v>
      </c>
      <c r="B39" s="1489"/>
      <c r="C39" s="1489"/>
      <c r="D39" s="1489"/>
      <c r="E39" s="1489"/>
      <c r="F39" s="1489"/>
      <c r="G39" s="1489"/>
      <c r="H39" s="1489"/>
      <c r="I39" s="1489"/>
      <c r="J39" s="1490"/>
    </row>
    <row r="40" spans="1:11" ht="20.100000000000001" customHeight="1" thickBot="1">
      <c r="A40" s="1491" t="s">
        <v>342</v>
      </c>
      <c r="B40" s="1492"/>
      <c r="C40" s="1492"/>
      <c r="D40" s="1492"/>
      <c r="E40" s="1492"/>
      <c r="F40" s="1493"/>
      <c r="G40" s="1491" t="s">
        <v>165</v>
      </c>
      <c r="H40" s="1492"/>
      <c r="I40" s="1492"/>
      <c r="J40" s="1493"/>
    </row>
    <row r="41" spans="1:11" ht="30" customHeight="1" thickBot="1">
      <c r="A41" s="422" t="s">
        <v>57</v>
      </c>
      <c r="B41" s="665" t="s">
        <v>72</v>
      </c>
      <c r="C41" s="662" t="s">
        <v>73</v>
      </c>
      <c r="D41" s="662" t="s">
        <v>74</v>
      </c>
      <c r="E41" s="662" t="s">
        <v>75</v>
      </c>
      <c r="F41" s="663" t="s">
        <v>76</v>
      </c>
      <c r="G41" s="683" t="s">
        <v>182</v>
      </c>
      <c r="H41" s="683" t="s">
        <v>183</v>
      </c>
      <c r="I41" s="660" t="s">
        <v>184</v>
      </c>
      <c r="J41" s="684">
        <f>J10</f>
        <v>0.17299999999999999</v>
      </c>
    </row>
    <row r="42" spans="1:11" s="233" customFormat="1" ht="15.95" customHeight="1">
      <c r="A42" s="656">
        <v>34</v>
      </c>
      <c r="B42" s="669">
        <f>'Statens skalatrin'!D106</f>
        <v>32716.5</v>
      </c>
      <c r="C42" s="657">
        <f>'Statens skalatrin'!F106</f>
        <v>33035.5</v>
      </c>
      <c r="D42" s="657">
        <f>'Statens skalatrin'!H106</f>
        <v>33256.42</v>
      </c>
      <c r="E42" s="657">
        <f>'Statens skalatrin'!J106</f>
        <v>33575.25</v>
      </c>
      <c r="F42" s="690">
        <f>'Statens skalatrin'!L106</f>
        <v>33796.17</v>
      </c>
      <c r="G42" s="694">
        <f>'Statens skalatrin'!O106</f>
        <v>32039.11</v>
      </c>
      <c r="H42" s="758">
        <f>J42*1/3</f>
        <v>1847.5900000000001</v>
      </c>
      <c r="I42" s="759">
        <f>J42*2/3</f>
        <v>3695.1800000000003</v>
      </c>
      <c r="J42" s="760">
        <f>ROUND(G42*$J$10,2)</f>
        <v>5542.77</v>
      </c>
    </row>
    <row r="43" spans="1:11" s="233" customFormat="1" ht="15.95" customHeight="1">
      <c r="A43" s="656">
        <v>36</v>
      </c>
      <c r="B43" s="643">
        <f>'Statens skalatrin'!D112</f>
        <v>33852.75</v>
      </c>
      <c r="C43" s="654">
        <f>'Statens skalatrin'!F112</f>
        <v>34104.67</v>
      </c>
      <c r="D43" s="654">
        <f>'Statens skalatrin'!H112</f>
        <v>34279.17</v>
      </c>
      <c r="E43" s="654">
        <f>'Statens skalatrin'!J112</f>
        <v>34531.17</v>
      </c>
      <c r="F43" s="673">
        <f>'Statens skalatrin'!L112</f>
        <v>34705.5</v>
      </c>
      <c r="G43" s="569">
        <f>'Statens skalatrin'!O112</f>
        <v>33317.800000000003</v>
      </c>
      <c r="H43" s="761">
        <f t="shared" ref="H43:H46" si="9">J43*1/3</f>
        <v>1921.3266666666666</v>
      </c>
      <c r="I43" s="638">
        <f t="shared" ref="I43:I46" si="10">J43*2/3</f>
        <v>3842.6533333333332</v>
      </c>
      <c r="J43" s="664">
        <f t="shared" ref="J43:J46" si="11">ROUND(G43*$J$10,2)</f>
        <v>5763.98</v>
      </c>
    </row>
    <row r="44" spans="1:11" s="233" customFormat="1" ht="15.95" customHeight="1">
      <c r="A44" s="656">
        <v>40</v>
      </c>
      <c r="B44" s="643">
        <f>'Statens skalatrin'!D124</f>
        <v>36325.25</v>
      </c>
      <c r="C44" s="654">
        <f>'Statens skalatrin'!F124</f>
        <v>36420.17</v>
      </c>
      <c r="D44" s="654">
        <f>'Statens skalatrin'!H124</f>
        <v>36485.919999999998</v>
      </c>
      <c r="E44" s="654">
        <f>'Statens skalatrin'!J124</f>
        <v>36580.83</v>
      </c>
      <c r="F44" s="673">
        <f>'Statens skalatrin'!L124</f>
        <v>36646.67</v>
      </c>
      <c r="G44" s="569">
        <f>'Statens skalatrin'!O124</f>
        <v>36123.42</v>
      </c>
      <c r="H44" s="761">
        <f t="shared" si="9"/>
        <v>2083.1166666666668</v>
      </c>
      <c r="I44" s="638">
        <f t="shared" si="10"/>
        <v>4166.2333333333336</v>
      </c>
      <c r="J44" s="664">
        <f t="shared" si="11"/>
        <v>6249.35</v>
      </c>
    </row>
    <row r="45" spans="1:11" s="233" customFormat="1" ht="15.95" customHeight="1">
      <c r="A45" s="688">
        <v>42</v>
      </c>
      <c r="B45" s="691">
        <f>'Statens skalatrin'!D130</f>
        <v>37646.58</v>
      </c>
      <c r="C45" s="689">
        <f>'Statens skalatrin'!F130</f>
        <v>37646.58</v>
      </c>
      <c r="D45" s="689">
        <f>'Statens skalatrin'!H130</f>
        <v>37646.58</v>
      </c>
      <c r="E45" s="689">
        <f>'Statens skalatrin'!J130</f>
        <v>37646.58</v>
      </c>
      <c r="F45" s="692">
        <f>'Statens skalatrin'!L130</f>
        <v>37646.58</v>
      </c>
      <c r="G45" s="637">
        <f>'Statens skalatrin'!O130</f>
        <v>37646.49</v>
      </c>
      <c r="H45" s="761">
        <f t="shared" si="9"/>
        <v>2170.9466666666667</v>
      </c>
      <c r="I45" s="638">
        <f t="shared" si="10"/>
        <v>4341.8933333333334</v>
      </c>
      <c r="J45" s="664">
        <f t="shared" si="11"/>
        <v>6512.84</v>
      </c>
    </row>
    <row r="46" spans="1:11" ht="15.95" customHeight="1" thickBot="1">
      <c r="A46" s="290">
        <v>43</v>
      </c>
      <c r="B46" s="645">
        <f>'Statens skalatrin'!D133</f>
        <v>38482.33</v>
      </c>
      <c r="C46" s="685">
        <f>'Statens skalatrin'!F133</f>
        <v>38482.33</v>
      </c>
      <c r="D46" s="685">
        <f>'Statens skalatrin'!H133</f>
        <v>38482.33</v>
      </c>
      <c r="E46" s="685">
        <f>'Statens skalatrin'!J133</f>
        <v>38482.33</v>
      </c>
      <c r="F46" s="693">
        <f>'Statens skalatrin'!L133</f>
        <v>38482.33</v>
      </c>
      <c r="G46" s="570">
        <f>'Statens skalatrin'!O133</f>
        <v>38482.300000000003</v>
      </c>
      <c r="H46" s="764">
        <f t="shared" si="9"/>
        <v>2219.1466666666665</v>
      </c>
      <c r="I46" s="641">
        <f t="shared" si="10"/>
        <v>4438.2933333333331</v>
      </c>
      <c r="J46" s="763">
        <f t="shared" si="11"/>
        <v>6657.44</v>
      </c>
    </row>
    <row r="47" spans="1:11" s="249" customFormat="1" ht="20.100000000000001" customHeight="1" thickBot="1">
      <c r="A47" s="727"/>
      <c r="B47" s="704"/>
      <c r="C47" s="650"/>
      <c r="D47" s="650"/>
      <c r="E47" s="650"/>
      <c r="F47" s="650"/>
      <c r="G47" s="667"/>
      <c r="H47" s="650"/>
      <c r="I47" s="651"/>
      <c r="J47" s="651"/>
      <c r="K47" s="651"/>
    </row>
    <row r="48" spans="1:11" ht="20.100000000000001" customHeight="1">
      <c r="A48" s="1007" t="s">
        <v>188</v>
      </c>
      <c r="B48" s="1080"/>
      <c r="C48" s="1080"/>
      <c r="D48" s="1080"/>
      <c r="E48" s="1080"/>
      <c r="F48" s="1080"/>
      <c r="G48" s="1080"/>
      <c r="H48" s="1080"/>
      <c r="I48" s="1080"/>
      <c r="J48" s="1081"/>
    </row>
    <row r="49" spans="1:11" ht="17.100000000000001" customHeight="1" thickBot="1">
      <c r="A49" s="1496" t="s">
        <v>266</v>
      </c>
      <c r="B49" s="1497"/>
      <c r="C49" s="1497"/>
      <c r="D49" s="1497"/>
      <c r="E49" s="1497"/>
      <c r="F49" s="1497"/>
      <c r="G49" s="1497"/>
      <c r="H49" s="1497"/>
      <c r="I49" s="1497"/>
      <c r="J49" s="1498"/>
    </row>
    <row r="50" spans="1:11" ht="15">
      <c r="A50" s="695"/>
      <c r="B50" s="696"/>
      <c r="C50" s="696"/>
      <c r="D50" s="696"/>
      <c r="E50" s="696"/>
      <c r="F50" s="699"/>
      <c r="G50" s="1505" t="s">
        <v>293</v>
      </c>
      <c r="H50" s="1506"/>
      <c r="I50" s="1505" t="s">
        <v>294</v>
      </c>
      <c r="J50" s="1506"/>
    </row>
    <row r="51" spans="1:11" ht="15.75" thickBot="1">
      <c r="A51" s="697"/>
      <c r="B51" s="698"/>
      <c r="C51" s="698"/>
      <c r="D51" s="698"/>
      <c r="E51" s="698"/>
      <c r="F51" s="636"/>
      <c r="G51" s="1507">
        <v>40999</v>
      </c>
      <c r="H51" s="1508"/>
      <c r="I51" s="1507" t="str">
        <f>'Løntabel gældende fra'!$D$1</f>
        <v>01/11/25</v>
      </c>
      <c r="J51" s="1508"/>
    </row>
    <row r="52" spans="1:11" ht="15.95" customHeight="1" thickBot="1">
      <c r="A52" s="1499" t="s">
        <v>345</v>
      </c>
      <c r="B52" s="1500"/>
      <c r="C52" s="1500"/>
      <c r="D52" s="1500"/>
      <c r="E52" s="1500"/>
      <c r="F52" s="1501"/>
      <c r="G52" s="1509">
        <v>136.5</v>
      </c>
      <c r="H52" s="1510"/>
      <c r="I52" s="1423">
        <f>ROUND(+G52*(1+'Løntabel gældende fra'!$D$7/100),2)</f>
        <v>170.51</v>
      </c>
      <c r="J52" s="1422"/>
    </row>
    <row r="53" spans="1:11" ht="15.95" customHeight="1" thickBot="1">
      <c r="A53" s="1502" t="s">
        <v>335</v>
      </c>
      <c r="B53" s="1503"/>
      <c r="C53" s="1503"/>
      <c r="D53" s="1503"/>
      <c r="E53" s="1503"/>
      <c r="F53" s="1504"/>
      <c r="G53" s="1423">
        <v>186.5</v>
      </c>
      <c r="H53" s="1422"/>
      <c r="I53" s="1423">
        <f>ROUND(+G53*(1+'Løntabel gældende fra'!$D$7/100),2)</f>
        <v>232.96</v>
      </c>
      <c r="J53" s="1422"/>
    </row>
    <row r="54" spans="1:11" ht="20.100000000000001" customHeight="1" thickBot="1">
      <c r="A54" s="700"/>
      <c r="B54" s="476"/>
      <c r="C54" s="476"/>
      <c r="D54" s="476"/>
      <c r="E54" s="476"/>
      <c r="F54" s="476"/>
      <c r="G54" s="700"/>
      <c r="H54" s="55"/>
      <c r="I54" s="55"/>
      <c r="J54" s="55"/>
      <c r="K54" s="55"/>
    </row>
    <row r="55" spans="1:11" ht="20.100000000000001" customHeight="1">
      <c r="A55" s="1007" t="s">
        <v>192</v>
      </c>
      <c r="B55" s="1080"/>
      <c r="C55" s="1080"/>
      <c r="D55" s="1080"/>
      <c r="E55" s="1080"/>
      <c r="F55" s="1080"/>
      <c r="G55" s="1080"/>
      <c r="H55" s="1080"/>
      <c r="I55" s="1080"/>
      <c r="J55" s="1081"/>
    </row>
    <row r="56" spans="1:11" ht="21" customHeight="1" thickBot="1">
      <c r="A56" s="1496" t="s">
        <v>305</v>
      </c>
      <c r="B56" s="1497"/>
      <c r="C56" s="1497"/>
      <c r="D56" s="1497"/>
      <c r="E56" s="1497"/>
      <c r="F56" s="1497"/>
      <c r="G56" s="1497"/>
      <c r="H56" s="1497"/>
      <c r="I56" s="1497"/>
      <c r="J56" s="1498"/>
    </row>
    <row r="57" spans="1:11" ht="15">
      <c r="A57" s="695"/>
      <c r="B57" s="696"/>
      <c r="C57" s="696"/>
      <c r="D57" s="696"/>
      <c r="E57" s="696"/>
      <c r="F57" s="699"/>
      <c r="G57" s="1505" t="s">
        <v>339</v>
      </c>
      <c r="H57" s="1506"/>
      <c r="I57" s="1505" t="s">
        <v>337</v>
      </c>
      <c r="J57" s="1506"/>
    </row>
    <row r="58" spans="1:11" ht="15.75" thickBot="1">
      <c r="A58" s="697"/>
      <c r="B58" s="698"/>
      <c r="C58" s="698"/>
      <c r="D58" s="698"/>
      <c r="E58" s="698"/>
      <c r="F58" s="636"/>
      <c r="G58" s="1507">
        <v>40999</v>
      </c>
      <c r="H58" s="1508"/>
      <c r="I58" s="1507" t="str">
        <f>'Løntabel gældende fra'!$D$1</f>
        <v>01/11/25</v>
      </c>
      <c r="J58" s="1508"/>
    </row>
    <row r="59" spans="1:11" ht="15.95" customHeight="1" thickBot="1">
      <c r="A59" s="707" t="s">
        <v>336</v>
      </c>
      <c r="B59" s="708"/>
      <c r="C59" s="708"/>
      <c r="D59" s="708"/>
      <c r="E59" s="708"/>
      <c r="F59" s="709"/>
      <c r="G59" s="1509">
        <v>300</v>
      </c>
      <c r="H59" s="1510"/>
      <c r="I59" s="1423">
        <f>ROUND(+G59*(1+'Løntabel gældende fra'!$D$7/100),2)</f>
        <v>374.74</v>
      </c>
      <c r="J59" s="1422"/>
    </row>
    <row r="60" spans="1:11" ht="20.100000000000001" customHeight="1" thickBot="1">
      <c r="A60" s="1476"/>
      <c r="B60" s="1476"/>
      <c r="C60" s="1476"/>
      <c r="D60" s="1476"/>
      <c r="E60" s="1476"/>
      <c r="F60" s="1476"/>
      <c r="G60" s="1476"/>
      <c r="H60" s="1476"/>
      <c r="I60" s="451"/>
      <c r="J60" s="10"/>
      <c r="K60" s="10"/>
    </row>
    <row r="61" spans="1:11" ht="20.100000000000001" customHeight="1" thickBot="1">
      <c r="A61" s="953" t="s">
        <v>338</v>
      </c>
      <c r="B61" s="954"/>
      <c r="C61" s="954"/>
      <c r="D61" s="954"/>
      <c r="E61" s="954"/>
      <c r="F61" s="954"/>
      <c r="G61" s="954"/>
      <c r="H61" s="1023"/>
      <c r="I61" s="451"/>
      <c r="J61" s="10"/>
      <c r="K61" s="10"/>
    </row>
    <row r="62" spans="1:11" ht="20.100000000000001" customHeight="1" thickBot="1">
      <c r="A62" s="717"/>
      <c r="B62" s="718"/>
      <c r="C62" s="1483" t="s">
        <v>374</v>
      </c>
      <c r="D62" s="1291"/>
      <c r="E62" s="1297"/>
      <c r="F62" s="1483" t="s">
        <v>375</v>
      </c>
      <c r="G62" s="1291"/>
      <c r="H62" s="1297"/>
      <c r="I62" s="451"/>
      <c r="J62" s="10"/>
      <c r="K62" s="10"/>
    </row>
    <row r="63" spans="1:11" ht="20.100000000000001" customHeight="1">
      <c r="A63" s="701"/>
      <c r="B63" s="702"/>
      <c r="C63" s="1481" t="s">
        <v>128</v>
      </c>
      <c r="D63" s="1481" t="s">
        <v>128</v>
      </c>
      <c r="E63" s="1481" t="s">
        <v>239</v>
      </c>
      <c r="F63" s="1481" t="s">
        <v>128</v>
      </c>
      <c r="G63" s="1481" t="s">
        <v>128</v>
      </c>
      <c r="H63" s="1481" t="s">
        <v>239</v>
      </c>
      <c r="I63" s="705"/>
      <c r="J63" s="706"/>
      <c r="K63" s="706"/>
    </row>
    <row r="64" spans="1:11" ht="20.100000000000001" customHeight="1">
      <c r="A64" s="701"/>
      <c r="B64" s="702"/>
      <c r="C64" s="1482"/>
      <c r="D64" s="1482"/>
      <c r="E64" s="1482"/>
      <c r="F64" s="1482"/>
      <c r="G64" s="1482"/>
      <c r="H64" s="1482"/>
      <c r="I64" s="705"/>
      <c r="J64" s="706"/>
      <c r="K64" s="706"/>
    </row>
    <row r="65" spans="1:11" ht="20.100000000000001" customHeight="1" thickBot="1">
      <c r="A65" s="710"/>
      <c r="B65" s="719"/>
      <c r="C65" s="711">
        <f>G58</f>
        <v>40999</v>
      </c>
      <c r="D65" s="711" t="str">
        <f>I58</f>
        <v>01/11/25</v>
      </c>
      <c r="E65" s="711" t="str">
        <f>I58</f>
        <v>01/11/25</v>
      </c>
      <c r="F65" s="711">
        <f>C65</f>
        <v>40999</v>
      </c>
      <c r="G65" s="711" t="str">
        <f t="shared" ref="G65:H65" si="12">D65</f>
        <v>01/11/25</v>
      </c>
      <c r="H65" s="711" t="str">
        <f t="shared" si="12"/>
        <v>01/11/25</v>
      </c>
      <c r="I65" s="705"/>
      <c r="J65" s="706"/>
      <c r="K65" s="706"/>
    </row>
    <row r="66" spans="1:11" ht="15.95" customHeight="1" thickBot="1">
      <c r="A66" s="1474" t="s">
        <v>341</v>
      </c>
      <c r="B66" s="1475"/>
      <c r="C66" s="723"/>
      <c r="D66" s="723"/>
      <c r="E66" s="723"/>
      <c r="F66" s="723"/>
      <c r="G66" s="723"/>
      <c r="H66" s="723"/>
      <c r="I66" s="705"/>
      <c r="J66" s="706"/>
      <c r="K66" s="706"/>
    </row>
    <row r="67" spans="1:11" ht="15.95" customHeight="1">
      <c r="A67" s="1484" t="s">
        <v>304</v>
      </c>
      <c r="B67" s="1485"/>
      <c r="C67" s="713">
        <v>103542</v>
      </c>
      <c r="D67" s="714">
        <f>ROUND(C67+(C67*'Løntabel gældende fra'!$D$7%),2)</f>
        <v>129337</v>
      </c>
      <c r="E67" s="714">
        <f>ROUND(D67/12,2)</f>
        <v>10778.08</v>
      </c>
      <c r="F67" s="714">
        <v>106163</v>
      </c>
      <c r="G67" s="714">
        <f>ROUND(F67+(F67*'Løntabel gældende fra'!$D$7%),2)</f>
        <v>132610.96</v>
      </c>
      <c r="H67" s="713">
        <f>ROUND(G67/12,2)</f>
        <v>11050.91</v>
      </c>
      <c r="I67" s="451"/>
      <c r="J67" s="10"/>
      <c r="K67" s="10"/>
    </row>
    <row r="68" spans="1:11" ht="15.95" customHeight="1">
      <c r="A68" s="1477" t="s">
        <v>303</v>
      </c>
      <c r="B68" s="1478"/>
      <c r="C68" s="715">
        <v>110751</v>
      </c>
      <c r="D68" s="714">
        <f>ROUND(C68+(C68*'Løntabel gældende fra'!$D$7%),2)</f>
        <v>138341.95000000001</v>
      </c>
      <c r="E68" s="714">
        <f t="shared" ref="E68:E70" si="13">ROUND(D68/12,2)</f>
        <v>11528.5</v>
      </c>
      <c r="F68" s="715">
        <v>114027</v>
      </c>
      <c r="G68" s="714">
        <f>ROUND(F68+(F68*'Løntabel gældende fra'!$D$7%),2)</f>
        <v>142434.09</v>
      </c>
      <c r="H68" s="713">
        <f t="shared" ref="H68:H70" si="14">ROUND(G68/12,2)</f>
        <v>11869.51</v>
      </c>
      <c r="I68" s="451"/>
      <c r="J68" s="10"/>
      <c r="K68" s="10"/>
    </row>
    <row r="69" spans="1:11" ht="15.95" customHeight="1">
      <c r="A69" s="1477" t="s">
        <v>302</v>
      </c>
      <c r="B69" s="1478"/>
      <c r="C69" s="715">
        <v>117959</v>
      </c>
      <c r="D69" s="714">
        <f>ROUND(C69+(C69*'Løntabel gældende fra'!$D$7%),2)</f>
        <v>147345.65</v>
      </c>
      <c r="E69" s="714">
        <f t="shared" si="13"/>
        <v>12278.8</v>
      </c>
      <c r="F69" s="715">
        <v>121236</v>
      </c>
      <c r="G69" s="714">
        <f>ROUND(F69+(F69*'Løntabel gældende fra'!$D$7%),2)</f>
        <v>151439.04000000001</v>
      </c>
      <c r="H69" s="713">
        <f t="shared" si="14"/>
        <v>12619.92</v>
      </c>
      <c r="I69" s="451"/>
      <c r="J69" s="10"/>
      <c r="K69" s="10"/>
    </row>
    <row r="70" spans="1:11" ht="15.95" customHeight="1" thickBot="1">
      <c r="A70" s="1479" t="s">
        <v>301</v>
      </c>
      <c r="B70" s="1480"/>
      <c r="C70" s="716">
        <v>126479</v>
      </c>
      <c r="D70" s="714">
        <f>ROUND(C70+(C70*'Løntabel gældende fra'!$D$7%),2)</f>
        <v>157988.21</v>
      </c>
      <c r="E70" s="714">
        <f t="shared" si="13"/>
        <v>13165.68</v>
      </c>
      <c r="F70" s="716">
        <v>130411</v>
      </c>
      <c r="G70" s="714">
        <f>ROUND(F70+(F70*'Løntabel gældende fra'!$D$7%),2)</f>
        <v>162899.76999999999</v>
      </c>
      <c r="H70" s="713">
        <f t="shared" si="14"/>
        <v>13574.98</v>
      </c>
      <c r="I70" s="451"/>
      <c r="J70" s="10"/>
      <c r="K70" s="10"/>
    </row>
    <row r="71" spans="1:11" ht="15.95" customHeight="1" thickBot="1">
      <c r="A71" s="1474" t="s">
        <v>340</v>
      </c>
      <c r="B71" s="1475"/>
      <c r="C71" s="720"/>
      <c r="D71" s="720"/>
      <c r="E71" s="720"/>
      <c r="F71" s="721"/>
      <c r="G71" s="720"/>
      <c r="H71" s="722"/>
      <c r="I71" s="451"/>
      <c r="J71" s="10"/>
      <c r="K71" s="10"/>
    </row>
    <row r="72" spans="1:11" ht="15.95" customHeight="1">
      <c r="A72" s="1484" t="s">
        <v>304</v>
      </c>
      <c r="B72" s="1485"/>
      <c r="C72" s="713">
        <v>130411</v>
      </c>
      <c r="D72" s="714">
        <f>ROUND(C72+(C72*'Løntabel gældende fra'!$D$7%),2)</f>
        <v>162899.76999999999</v>
      </c>
      <c r="E72" s="714">
        <f>ROUND(D72/12,2)</f>
        <v>13574.98</v>
      </c>
      <c r="F72" s="714">
        <v>133687</v>
      </c>
      <c r="G72" s="714">
        <f>ROUND(F72+(F72*'Løntabel gældende fra'!$D$7%),2)</f>
        <v>166991.91</v>
      </c>
      <c r="H72" s="713">
        <f>ROUND(G72/12,2)</f>
        <v>13915.99</v>
      </c>
      <c r="I72" s="451"/>
      <c r="J72" s="10"/>
      <c r="K72" s="10"/>
    </row>
    <row r="73" spans="1:11" ht="15.95" customHeight="1">
      <c r="A73" s="1477" t="s">
        <v>303</v>
      </c>
      <c r="B73" s="1478"/>
      <c r="C73" s="715">
        <v>137619</v>
      </c>
      <c r="D73" s="714">
        <f>ROUND(C73+(C73*'Løntabel gældende fra'!$D$7%),2)</f>
        <v>171903.47</v>
      </c>
      <c r="E73" s="714">
        <f t="shared" ref="E73:E75" si="15">ROUND(D73/12,2)</f>
        <v>14325.29</v>
      </c>
      <c r="F73" s="715">
        <v>140896</v>
      </c>
      <c r="G73" s="714">
        <f>ROUND(F73+(F73*'Løntabel gældende fra'!$D$7%),2)</f>
        <v>175996.86</v>
      </c>
      <c r="H73" s="713">
        <f t="shared" ref="H73:H75" si="16">ROUND(G73/12,2)</f>
        <v>14666.41</v>
      </c>
      <c r="I73" s="451"/>
      <c r="J73" s="10"/>
      <c r="K73" s="10"/>
    </row>
    <row r="74" spans="1:11" ht="15.95" customHeight="1">
      <c r="A74" s="1477" t="s">
        <v>302</v>
      </c>
      <c r="B74" s="1478"/>
      <c r="C74" s="715">
        <v>147777</v>
      </c>
      <c r="D74" s="714">
        <f>ROUND(C74+(C74*'Løntabel gældende fra'!$D$7%),2)</f>
        <v>184592.09</v>
      </c>
      <c r="E74" s="714">
        <f t="shared" si="15"/>
        <v>15382.67</v>
      </c>
      <c r="F74" s="715">
        <v>152037</v>
      </c>
      <c r="G74" s="714">
        <f>ROUND(F74+(F74*'Løntabel gældende fra'!$D$7%),2)</f>
        <v>189913.37</v>
      </c>
      <c r="H74" s="713">
        <f t="shared" si="16"/>
        <v>15826.11</v>
      </c>
      <c r="I74" s="451"/>
      <c r="J74" s="10"/>
      <c r="K74" s="10"/>
    </row>
    <row r="75" spans="1:11" s="249" customFormat="1" ht="15.95" customHeight="1" thickBot="1">
      <c r="A75" s="1479" t="s">
        <v>301</v>
      </c>
      <c r="B75" s="1480"/>
      <c r="C75" s="716">
        <v>155641</v>
      </c>
      <c r="D75" s="714">
        <f>ROUND(C75+(C75*'Løntabel gældende fra'!$D$7%),2)</f>
        <v>194415.22</v>
      </c>
      <c r="E75" s="714">
        <f t="shared" si="15"/>
        <v>16201.27</v>
      </c>
      <c r="F75" s="716">
        <v>160556</v>
      </c>
      <c r="G75" s="714">
        <f>ROUND(F75+(F75*'Løntabel gældende fra'!$D$7%),2)</f>
        <v>200554.67</v>
      </c>
      <c r="H75" s="713">
        <f t="shared" si="16"/>
        <v>16712.89</v>
      </c>
      <c r="I75" s="451"/>
      <c r="J75" s="55"/>
      <c r="K75" s="55"/>
    </row>
    <row r="76" spans="1:11" ht="15.95" customHeight="1" thickBot="1">
      <c r="A76" s="724" t="s">
        <v>343</v>
      </c>
      <c r="B76" s="724"/>
      <c r="C76" s="720"/>
      <c r="D76" s="720"/>
      <c r="E76" s="720"/>
      <c r="F76" s="721"/>
      <c r="G76" s="720"/>
      <c r="H76" s="722"/>
      <c r="I76" s="451"/>
      <c r="J76" s="10"/>
      <c r="K76" s="10"/>
    </row>
    <row r="77" spans="1:11" ht="15.95" customHeight="1" thickBot="1">
      <c r="A77" s="1486" t="s">
        <v>344</v>
      </c>
      <c r="B77" s="1487"/>
      <c r="C77" s="712">
        <v>220533</v>
      </c>
      <c r="D77" s="712">
        <f>ROUND(C77+(C77*'Løntabel gældende fra'!$D$7%),2)</f>
        <v>275473.5</v>
      </c>
      <c r="E77" s="712">
        <f>ROUND(D77/12,2)</f>
        <v>22956.13</v>
      </c>
      <c r="F77" s="712">
        <v>222812</v>
      </c>
      <c r="G77" s="712">
        <f>ROUND(F77+(F77*'Løntabel gældende fra'!$D$7%),2)</f>
        <v>278320.26</v>
      </c>
      <c r="H77" s="725">
        <f>ROUND(G77/12,2)</f>
        <v>23193.360000000001</v>
      </c>
      <c r="I77" s="451"/>
      <c r="J77" s="10"/>
      <c r="K77" s="10"/>
    </row>
    <row r="78" spans="1:11">
      <c r="A78" s="219"/>
      <c r="B78" s="219"/>
      <c r="C78" s="219"/>
      <c r="D78" s="220"/>
    </row>
    <row r="79" spans="1:11">
      <c r="D79" s="221"/>
    </row>
    <row r="80" spans="1:11">
      <c r="D80" s="221"/>
    </row>
    <row r="81" spans="4:4">
      <c r="D81" s="221"/>
    </row>
    <row r="82" spans="4:4">
      <c r="D82" s="222"/>
    </row>
  </sheetData>
  <sheetProtection sheet="1" objects="1" scenarios="1"/>
  <mergeCells count="63">
    <mergeCell ref="A8:J8"/>
    <mergeCell ref="G9:J9"/>
    <mergeCell ref="A9:F9"/>
    <mergeCell ref="A6:H6"/>
    <mergeCell ref="A1:J1"/>
    <mergeCell ref="A2:J2"/>
    <mergeCell ref="A3:J3"/>
    <mergeCell ref="A5:J5"/>
    <mergeCell ref="A7:J7"/>
    <mergeCell ref="A4:J4"/>
    <mergeCell ref="G50:H50"/>
    <mergeCell ref="G51:H51"/>
    <mergeCell ref="G52:H52"/>
    <mergeCell ref="G53:H53"/>
    <mergeCell ref="I52:J52"/>
    <mergeCell ref="I50:J50"/>
    <mergeCell ref="I51:J51"/>
    <mergeCell ref="A52:F52"/>
    <mergeCell ref="A53:F53"/>
    <mergeCell ref="A55:J55"/>
    <mergeCell ref="A56:J56"/>
    <mergeCell ref="D63:D64"/>
    <mergeCell ref="E63:E64"/>
    <mergeCell ref="F63:F64"/>
    <mergeCell ref="G63:G64"/>
    <mergeCell ref="G57:H57"/>
    <mergeCell ref="I57:J57"/>
    <mergeCell ref="G58:H58"/>
    <mergeCell ref="I58:J58"/>
    <mergeCell ref="G59:H59"/>
    <mergeCell ref="I59:J59"/>
    <mergeCell ref="I53:J53"/>
    <mergeCell ref="A38:J38"/>
    <mergeCell ref="A39:J39"/>
    <mergeCell ref="A40:F40"/>
    <mergeCell ref="A48:J48"/>
    <mergeCell ref="A49:J49"/>
    <mergeCell ref="G40:J40"/>
    <mergeCell ref="A29:J29"/>
    <mergeCell ref="A30:J30"/>
    <mergeCell ref="A31:F31"/>
    <mergeCell ref="A18:J18"/>
    <mergeCell ref="A19:J19"/>
    <mergeCell ref="A20:F20"/>
    <mergeCell ref="G31:J31"/>
    <mergeCell ref="G20:J20"/>
    <mergeCell ref="A77:B77"/>
    <mergeCell ref="A68:B68"/>
    <mergeCell ref="A69:B69"/>
    <mergeCell ref="A70:B70"/>
    <mergeCell ref="A71:B71"/>
    <mergeCell ref="A72:B72"/>
    <mergeCell ref="A66:B66"/>
    <mergeCell ref="A60:H60"/>
    <mergeCell ref="A73:B73"/>
    <mergeCell ref="A74:B74"/>
    <mergeCell ref="A75:B75"/>
    <mergeCell ref="H63:H64"/>
    <mergeCell ref="C62:E62"/>
    <mergeCell ref="F62:H62"/>
    <mergeCell ref="A61:H61"/>
    <mergeCell ref="A67:B67"/>
    <mergeCell ref="C63:C64"/>
  </mergeCells>
  <phoneticPr fontId="7" type="noConversion"/>
  <pageMargins left="0.7" right="0.7" top="0.75" bottom="0.75" header="0.3" footer="0.3"/>
  <pageSetup paperSize="9" scale="53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12"/>
  <sheetViews>
    <sheetView view="pageBreakPreview" zoomScale="85" zoomScaleSheetLayoutView="85" workbookViewId="0">
      <selection activeCell="J13" sqref="J13"/>
    </sheetView>
  </sheetViews>
  <sheetFormatPr defaultColWidth="8.85546875" defaultRowHeight="15"/>
  <cols>
    <col min="1" max="1" width="13.28515625" customWidth="1"/>
    <col min="2" max="3" width="11.28515625" customWidth="1"/>
    <col min="4" max="6" width="9.85546875" customWidth="1"/>
    <col min="7" max="7" width="12.7109375" customWidth="1"/>
    <col min="8" max="8" width="12.140625" customWidth="1"/>
    <col min="9" max="9" width="9.7109375" customWidth="1"/>
    <col min="10" max="10" width="20" customWidth="1"/>
    <col min="11" max="11" width="9.7109375" bestFit="1" customWidth="1"/>
  </cols>
  <sheetData>
    <row r="1" spans="1:20" ht="30" customHeight="1" thickBot="1">
      <c r="A1" s="1538" t="s">
        <v>125</v>
      </c>
      <c r="B1" s="1539"/>
      <c r="C1" s="1539"/>
      <c r="D1" s="1539"/>
      <c r="E1" s="1539"/>
      <c r="F1" s="1539"/>
      <c r="G1" s="1539"/>
      <c r="H1" s="1540"/>
      <c r="I1" s="1555"/>
      <c r="J1" s="1556"/>
    </row>
    <row r="2" spans="1:20" ht="12" customHeight="1" thickBot="1">
      <c r="A2" s="1554"/>
      <c r="B2" s="1554"/>
      <c r="C2" s="1554"/>
      <c r="D2" s="1554"/>
      <c r="E2" s="1554"/>
      <c r="F2" s="1554"/>
      <c r="G2" s="1554"/>
      <c r="H2" s="1554"/>
      <c r="I2" s="1554"/>
      <c r="J2" s="1554"/>
      <c r="K2" s="2"/>
      <c r="L2" s="2"/>
      <c r="M2" s="2"/>
    </row>
    <row r="3" spans="1:20" ht="26.1" customHeight="1" thickBot="1">
      <c r="A3" s="953" t="s">
        <v>413</v>
      </c>
      <c r="B3" s="954"/>
      <c r="C3" s="954"/>
      <c r="D3" s="954"/>
      <c r="E3" s="954"/>
      <c r="F3" s="954"/>
      <c r="G3" s="954"/>
      <c r="H3" s="1023"/>
      <c r="I3" s="1557"/>
      <c r="J3" s="1558"/>
      <c r="K3" s="2"/>
    </row>
    <row r="4" spans="1:20" ht="21" customHeight="1" thickBot="1">
      <c r="A4" s="86"/>
      <c r="B4" s="962" t="s">
        <v>37</v>
      </c>
      <c r="C4" s="963"/>
      <c r="D4" s="963"/>
      <c r="E4" s="963"/>
      <c r="F4" s="963"/>
      <c r="G4" s="963"/>
      <c r="H4" s="964"/>
      <c r="I4" s="1557"/>
      <c r="J4" s="1558"/>
      <c r="K4" s="2"/>
    </row>
    <row r="5" spans="1:20" ht="15" customHeight="1">
      <c r="A5" s="1529"/>
      <c r="B5" s="1531" t="s">
        <v>34</v>
      </c>
      <c r="C5" s="1532"/>
      <c r="D5" s="1531" t="s">
        <v>102</v>
      </c>
      <c r="E5" s="1532"/>
      <c r="F5" s="1531" t="s">
        <v>103</v>
      </c>
      <c r="G5" s="1532"/>
      <c r="H5" s="1535" t="s">
        <v>104</v>
      </c>
      <c r="I5" s="1557"/>
      <c r="J5" s="1558"/>
      <c r="K5" s="2"/>
    </row>
    <row r="6" spans="1:20" ht="33.75" customHeight="1" thickBot="1">
      <c r="A6" s="1530"/>
      <c r="B6" s="1533"/>
      <c r="C6" s="1534"/>
      <c r="D6" s="1533"/>
      <c r="E6" s="1534"/>
      <c r="F6" s="1533"/>
      <c r="G6" s="1534"/>
      <c r="H6" s="1536"/>
      <c r="I6" s="1557"/>
      <c r="J6" s="1558"/>
      <c r="K6" s="2"/>
    </row>
    <row r="7" spans="1:20" ht="17.100000000000001" customHeight="1">
      <c r="A7" s="87" t="s">
        <v>35</v>
      </c>
      <c r="B7" s="1560">
        <v>99</v>
      </c>
      <c r="C7" s="1561"/>
      <c r="D7" s="1560">
        <v>66</v>
      </c>
      <c r="E7" s="1561"/>
      <c r="F7" s="1541">
        <v>33</v>
      </c>
      <c r="G7" s="1541"/>
      <c r="H7" s="127">
        <v>0</v>
      </c>
      <c r="I7" s="1557"/>
      <c r="J7" s="1558"/>
      <c r="K7" s="2"/>
    </row>
    <row r="8" spans="1:20" ht="17.100000000000001" customHeight="1" thickBot="1">
      <c r="A8" s="88" t="s">
        <v>36</v>
      </c>
      <c r="B8" s="1542">
        <v>198</v>
      </c>
      <c r="C8" s="1543"/>
      <c r="D8" s="1562">
        <v>132</v>
      </c>
      <c r="E8" s="1563"/>
      <c r="F8" s="1537">
        <v>66</v>
      </c>
      <c r="G8" s="1537"/>
      <c r="H8" s="128">
        <v>0</v>
      </c>
      <c r="I8" s="1557"/>
      <c r="J8" s="1558"/>
      <c r="K8" s="2"/>
    </row>
    <row r="9" spans="1:20" ht="17.100000000000001" customHeight="1" thickBot="1">
      <c r="A9" s="89" t="s">
        <v>22</v>
      </c>
      <c r="B9" s="1544">
        <f>SUM(B7:C8)</f>
        <v>297</v>
      </c>
      <c r="C9" s="1544"/>
      <c r="D9" s="1564">
        <f>SUM(D7:E8)</f>
        <v>198</v>
      </c>
      <c r="E9" s="1565"/>
      <c r="F9" s="1544">
        <f>SUM(F7:G8)</f>
        <v>99</v>
      </c>
      <c r="G9" s="1544"/>
      <c r="H9" s="129">
        <f>SUM(H7:I8)</f>
        <v>0</v>
      </c>
      <c r="I9" s="1557"/>
      <c r="J9" s="1558"/>
      <c r="K9" s="130"/>
    </row>
    <row r="10" spans="1:20" ht="17.100000000000001" customHeight="1">
      <c r="A10" s="1559" t="s">
        <v>399</v>
      </c>
      <c r="B10" s="1559"/>
      <c r="C10" s="1559"/>
      <c r="D10" s="1559"/>
      <c r="E10" s="1559"/>
      <c r="F10" s="1559"/>
      <c r="G10" s="1559"/>
      <c r="H10" s="1559"/>
      <c r="I10" s="821"/>
      <c r="J10" s="821"/>
      <c r="K10" s="6"/>
      <c r="L10" s="2"/>
      <c r="M10" s="130"/>
    </row>
    <row r="11" spans="1:20" ht="15.95" customHeight="1" thickBot="1">
      <c r="A11" s="1554"/>
      <c r="B11" s="1554"/>
      <c r="C11" s="1554"/>
      <c r="D11" s="1554"/>
      <c r="E11" s="1554"/>
      <c r="F11" s="1554"/>
      <c r="G11" s="1554"/>
      <c r="H11" s="1554"/>
      <c r="I11" s="1554"/>
      <c r="J11" s="1554"/>
      <c r="K11" s="2"/>
      <c r="L11" s="2"/>
      <c r="M11" s="2"/>
    </row>
    <row r="12" spans="1:20" s="2" customFormat="1" ht="26.1" customHeight="1" thickBot="1">
      <c r="A12" s="1546" t="s">
        <v>64</v>
      </c>
      <c r="B12" s="1547"/>
      <c r="C12" s="1547"/>
      <c r="D12" s="1547"/>
      <c r="E12" s="1547"/>
      <c r="F12" s="1547"/>
      <c r="G12" s="1547"/>
      <c r="H12" s="1548"/>
      <c r="M12" s="16"/>
      <c r="N12" s="16"/>
      <c r="O12" s="16"/>
      <c r="P12" s="16"/>
      <c r="Q12" s="16"/>
      <c r="R12" s="16"/>
      <c r="S12" s="16"/>
      <c r="T12" s="16"/>
    </row>
    <row r="13" spans="1:20" s="2" customFormat="1" ht="21" customHeight="1" thickBot="1">
      <c r="A13" s="1549" t="s">
        <v>193</v>
      </c>
      <c r="B13" s="1550"/>
      <c r="C13" s="1550"/>
      <c r="D13" s="1550"/>
      <c r="E13" s="1550"/>
      <c r="F13" s="1550"/>
      <c r="G13" s="1551"/>
      <c r="H13" s="102" t="s">
        <v>63</v>
      </c>
      <c r="M13" s="16"/>
      <c r="N13" s="16"/>
      <c r="O13" s="16"/>
      <c r="P13" s="16"/>
      <c r="Q13" s="16"/>
      <c r="R13" s="16"/>
      <c r="S13" s="16"/>
      <c r="T13" s="16"/>
    </row>
    <row r="14" spans="1:20" s="2" customFormat="1" ht="17.100000000000001" customHeight="1" thickBot="1">
      <c r="A14" s="1574" t="s">
        <v>65</v>
      </c>
      <c r="B14" s="1575"/>
      <c r="C14" s="1575"/>
      <c r="D14" s="1575"/>
      <c r="E14" s="1575"/>
      <c r="F14" s="1575"/>
      <c r="G14" s="1576"/>
      <c r="H14" s="103">
        <v>108.35</v>
      </c>
      <c r="M14" s="16"/>
      <c r="N14" s="16"/>
      <c r="O14" s="16"/>
      <c r="P14" s="16"/>
      <c r="Q14" s="16"/>
      <c r="R14" s="16"/>
      <c r="S14" s="16"/>
      <c r="T14" s="16"/>
    </row>
    <row r="15" spans="1:20" s="2" customFormat="1" ht="21" customHeight="1" thickBot="1">
      <c r="A15" s="1577" t="s">
        <v>380</v>
      </c>
      <c r="B15" s="1578"/>
      <c r="C15" s="1578"/>
      <c r="D15" s="1578"/>
      <c r="E15" s="1578"/>
      <c r="F15" s="1578"/>
      <c r="G15" s="1579"/>
      <c r="H15" s="104" t="s">
        <v>89</v>
      </c>
      <c r="M15" s="16"/>
      <c r="N15" s="16"/>
      <c r="O15" s="16"/>
      <c r="P15" s="16"/>
      <c r="Q15" s="16"/>
      <c r="R15" s="16"/>
      <c r="S15" s="16"/>
      <c r="T15" s="16"/>
    </row>
    <row r="16" spans="1:20" s="2" customFormat="1" ht="15.95" customHeight="1">
      <c r="A16" s="1580" t="s">
        <v>404</v>
      </c>
      <c r="B16" s="1581"/>
      <c r="C16" s="1581"/>
      <c r="D16" s="1581"/>
      <c r="E16" s="1581"/>
      <c r="F16" s="1581"/>
      <c r="G16" s="1582"/>
      <c r="H16" s="1586">
        <v>176.5</v>
      </c>
      <c r="M16" s="16"/>
      <c r="N16" s="16"/>
      <c r="O16" s="16"/>
      <c r="P16" s="16"/>
      <c r="Q16" s="16"/>
      <c r="R16" s="16"/>
      <c r="S16" s="16"/>
      <c r="T16" s="16"/>
    </row>
    <row r="17" spans="1:20" s="2" customFormat="1" ht="47.1" customHeight="1" thickBot="1">
      <c r="A17" s="1583"/>
      <c r="B17" s="1584"/>
      <c r="C17" s="1584"/>
      <c r="D17" s="1584"/>
      <c r="E17" s="1584"/>
      <c r="F17" s="1584"/>
      <c r="G17" s="1585"/>
      <c r="H17" s="1587"/>
      <c r="M17" s="16"/>
      <c r="N17" s="16"/>
      <c r="O17" s="16"/>
      <c r="P17" s="16"/>
      <c r="Q17" s="16"/>
      <c r="R17" s="16"/>
      <c r="S17" s="16"/>
      <c r="T17" s="16"/>
    </row>
    <row r="18" spans="1:20" s="2" customFormat="1" ht="15.95" customHeight="1" thickBot="1">
      <c r="A18" s="20"/>
      <c r="B18" s="20"/>
      <c r="C18" s="20"/>
      <c r="D18" s="20"/>
      <c r="E18" s="20"/>
      <c r="F18" s="20"/>
      <c r="G18" s="20"/>
      <c r="H18" s="20"/>
      <c r="M18" s="16"/>
      <c r="N18" s="16"/>
      <c r="O18" s="16"/>
      <c r="P18" s="16"/>
      <c r="Q18" s="16"/>
      <c r="R18" s="16"/>
      <c r="S18" s="16"/>
      <c r="T18" s="16"/>
    </row>
    <row r="19" spans="1:20" ht="26.1" customHeight="1" thickBot="1">
      <c r="A19" s="953" t="s">
        <v>252</v>
      </c>
      <c r="B19" s="954"/>
      <c r="C19" s="954"/>
      <c r="D19" s="954"/>
      <c r="E19" s="954"/>
      <c r="F19" s="954"/>
      <c r="G19" s="954"/>
      <c r="H19" s="1023"/>
      <c r="I19" s="20"/>
      <c r="J19" s="20"/>
      <c r="K19" s="2"/>
      <c r="L19" s="2"/>
      <c r="M19" s="2"/>
    </row>
    <row r="20" spans="1:20" ht="24" customHeight="1">
      <c r="A20" s="1589" t="s">
        <v>38</v>
      </c>
      <c r="B20" s="1531" t="s">
        <v>42</v>
      </c>
      <c r="C20" s="1545"/>
      <c r="D20" s="1532"/>
      <c r="E20" s="1531" t="s">
        <v>42</v>
      </c>
      <c r="F20" s="1545"/>
      <c r="G20" s="1545"/>
      <c r="H20" s="1532"/>
      <c r="I20" s="17"/>
      <c r="J20" s="17"/>
      <c r="K20" s="17"/>
      <c r="L20" s="2"/>
      <c r="M20" s="2"/>
      <c r="N20" s="2"/>
    </row>
    <row r="21" spans="1:20" ht="15.75" thickBot="1">
      <c r="A21" s="1530"/>
      <c r="B21" s="1571">
        <v>40999</v>
      </c>
      <c r="C21" s="1572"/>
      <c r="D21" s="1573"/>
      <c r="E21" s="1571" t="str">
        <f>'Løntabel gældende fra'!$D$1</f>
        <v>01/11/25</v>
      </c>
      <c r="F21" s="1572"/>
      <c r="G21" s="1572"/>
      <c r="H21" s="1573"/>
      <c r="I21" s="1570"/>
      <c r="J21" s="1570"/>
      <c r="K21" s="1570"/>
      <c r="L21" s="2"/>
      <c r="M21" s="2"/>
      <c r="N21" s="2"/>
    </row>
    <row r="22" spans="1:20" ht="17.100000000000001" customHeight="1">
      <c r="A22" s="82" t="s">
        <v>39</v>
      </c>
      <c r="B22" s="1595">
        <v>6000</v>
      </c>
      <c r="C22" s="1596"/>
      <c r="D22" s="1597"/>
      <c r="E22" s="1590">
        <f>ROUND(B22+B22*'Løntabel gældende fra'!$D$7%,2)</f>
        <v>7494.76</v>
      </c>
      <c r="F22" s="1590"/>
      <c r="G22" s="1590"/>
      <c r="H22" s="1591"/>
      <c r="I22" s="1570"/>
      <c r="J22" s="1570"/>
      <c r="K22" s="1570"/>
      <c r="L22" s="2"/>
      <c r="M22" s="2"/>
      <c r="N22" s="2"/>
    </row>
    <row r="23" spans="1:20" ht="17.100000000000001" customHeight="1">
      <c r="A23" s="83" t="s">
        <v>40</v>
      </c>
      <c r="B23" s="1598">
        <v>7600</v>
      </c>
      <c r="C23" s="1599"/>
      <c r="D23" s="1600"/>
      <c r="E23" s="1593">
        <f>ROUND(B23+B23*'Løntabel gældende fra'!$D$7%,2)</f>
        <v>9493.36</v>
      </c>
      <c r="F23" s="1593"/>
      <c r="G23" s="1593"/>
      <c r="H23" s="1594"/>
      <c r="I23" s="1592"/>
      <c r="J23" s="1592"/>
      <c r="K23" s="24"/>
      <c r="L23" s="2"/>
      <c r="M23" s="2"/>
      <c r="N23" s="2"/>
    </row>
    <row r="24" spans="1:20" ht="17.100000000000001" customHeight="1" thickBot="1">
      <c r="A24" s="84" t="s">
        <v>41</v>
      </c>
      <c r="B24" s="1603">
        <v>9000</v>
      </c>
      <c r="C24" s="1604"/>
      <c r="D24" s="1605"/>
      <c r="E24" s="1601">
        <f>ROUND(B24+B24*'Løntabel gældende fra'!$D$7%,2)</f>
        <v>11242.13</v>
      </c>
      <c r="F24" s="1601"/>
      <c r="G24" s="1601"/>
      <c r="H24" s="1602"/>
      <c r="I24" s="1588"/>
      <c r="J24" s="1588"/>
      <c r="K24" s="25"/>
      <c r="L24" s="2"/>
      <c r="M24" s="2"/>
      <c r="N24" s="2"/>
    </row>
    <row r="25" spans="1:20" ht="14.1" customHeight="1" thickBot="1">
      <c r="A25" s="2"/>
      <c r="B25" s="2"/>
      <c r="C25" s="2"/>
      <c r="D25" s="2"/>
      <c r="E25" s="2"/>
      <c r="F25" s="2"/>
      <c r="G25" s="2"/>
      <c r="H25" s="2"/>
      <c r="I25" s="1588"/>
      <c r="J25" s="1588"/>
      <c r="K25" s="25"/>
      <c r="L25" s="2"/>
      <c r="M25" s="2"/>
      <c r="N25" s="2"/>
    </row>
    <row r="26" spans="1:20" ht="26.1" customHeight="1" thickBot="1">
      <c r="A26" s="953" t="s">
        <v>307</v>
      </c>
      <c r="B26" s="954"/>
      <c r="C26" s="954"/>
      <c r="D26" s="954"/>
      <c r="E26" s="954"/>
      <c r="F26" s="954"/>
      <c r="G26" s="954"/>
      <c r="H26" s="1023"/>
      <c r="I26" s="2"/>
      <c r="J26" s="2"/>
      <c r="K26" s="2"/>
      <c r="L26" s="2"/>
      <c r="M26" s="2"/>
    </row>
    <row r="27" spans="1:20" ht="18.75" customHeight="1" thickBot="1">
      <c r="A27" s="1623" t="str">
        <f>'Forside 1'!A6</f>
        <v>Gældende fra 1. november 2025</v>
      </c>
      <c r="B27" s="1624"/>
      <c r="C27" s="1624"/>
      <c r="D27" s="1625"/>
      <c r="E27" s="949" t="s">
        <v>130</v>
      </c>
      <c r="F27" s="950"/>
      <c r="G27" s="1517" t="s">
        <v>131</v>
      </c>
      <c r="H27" s="1519"/>
      <c r="I27" s="201"/>
      <c r="J27" s="2"/>
      <c r="K27" s="2"/>
      <c r="L27" s="2"/>
      <c r="M27" s="2"/>
    </row>
    <row r="28" spans="1:20" ht="62.1" customHeight="1" thickBot="1">
      <c r="A28" s="1626"/>
      <c r="B28" s="1627"/>
      <c r="C28" s="1627"/>
      <c r="D28" s="1628"/>
      <c r="E28" s="520" t="s">
        <v>309</v>
      </c>
      <c r="F28" s="520" t="s">
        <v>281</v>
      </c>
      <c r="G28" s="491" t="s">
        <v>309</v>
      </c>
      <c r="H28" s="521" t="s">
        <v>281</v>
      </c>
      <c r="I28" s="553"/>
      <c r="J28" s="553"/>
      <c r="K28" s="26"/>
      <c r="L28" s="2"/>
      <c r="M28" s="2"/>
      <c r="N28" s="2"/>
    </row>
    <row r="29" spans="1:20" ht="17.100000000000001" customHeight="1">
      <c r="A29" s="1520" t="s">
        <v>132</v>
      </c>
      <c r="B29" s="1521"/>
      <c r="C29" s="1521"/>
      <c r="D29" s="552"/>
      <c r="E29" s="522">
        <v>513</v>
      </c>
      <c r="F29" s="197">
        <f t="shared" ref="F29:F34" si="0">ROUND(E29/24,2)</f>
        <v>21.38</v>
      </c>
      <c r="G29" s="265">
        <v>597</v>
      </c>
      <c r="H29" s="526">
        <f t="shared" ref="H29:H34" si="1">ROUND(G29/24,2)</f>
        <v>24.88</v>
      </c>
      <c r="I29" s="553"/>
      <c r="J29" s="553"/>
      <c r="K29" s="26"/>
      <c r="L29" s="2"/>
      <c r="M29" s="2"/>
      <c r="N29" s="2"/>
    </row>
    <row r="30" spans="1:20" ht="17.100000000000001" customHeight="1">
      <c r="A30" s="1621" t="s">
        <v>284</v>
      </c>
      <c r="B30" s="1622"/>
      <c r="C30" s="1622"/>
      <c r="D30" s="551"/>
      <c r="E30" s="523">
        <f>(E29*15)/100</f>
        <v>76.95</v>
      </c>
      <c r="F30" s="198">
        <f t="shared" si="0"/>
        <v>3.21</v>
      </c>
      <c r="G30" s="266">
        <f>(G29*15)/100</f>
        <v>89.55</v>
      </c>
      <c r="H30" s="527">
        <f t="shared" si="1"/>
        <v>3.73</v>
      </c>
      <c r="I30" s="196"/>
      <c r="K30" s="46"/>
      <c r="L30" s="2"/>
      <c r="M30" s="2"/>
      <c r="N30" s="2"/>
    </row>
    <row r="31" spans="1:20" ht="17.100000000000001" customHeight="1">
      <c r="A31" s="1621" t="s">
        <v>285</v>
      </c>
      <c r="B31" s="1622"/>
      <c r="C31" s="1622"/>
      <c r="D31" s="551"/>
      <c r="E31" s="523">
        <f>(E29*30)/100</f>
        <v>153.9</v>
      </c>
      <c r="F31" s="198">
        <f t="shared" si="0"/>
        <v>6.41</v>
      </c>
      <c r="G31" s="267">
        <f>(G29*30)/100</f>
        <v>179.1</v>
      </c>
      <c r="H31" s="527">
        <f t="shared" si="1"/>
        <v>7.46</v>
      </c>
      <c r="I31" s="196"/>
      <c r="K31" s="47"/>
      <c r="L31" s="269"/>
      <c r="M31" s="2"/>
      <c r="N31" s="2"/>
    </row>
    <row r="32" spans="1:20" ht="17.100000000000001" customHeight="1">
      <c r="A32" s="1621" t="s">
        <v>286</v>
      </c>
      <c r="B32" s="1622"/>
      <c r="C32" s="1622"/>
      <c r="D32" s="551"/>
      <c r="E32" s="523">
        <f>(E29*30)/100</f>
        <v>153.9</v>
      </c>
      <c r="F32" s="198">
        <f t="shared" si="0"/>
        <v>6.41</v>
      </c>
      <c r="G32" s="268">
        <f>(G29*30)/100</f>
        <v>179.1</v>
      </c>
      <c r="H32" s="527">
        <f t="shared" si="1"/>
        <v>7.46</v>
      </c>
      <c r="I32" s="196"/>
      <c r="K32" s="48"/>
      <c r="L32" s="2"/>
      <c r="M32" s="2"/>
      <c r="N32" s="2"/>
    </row>
    <row r="33" spans="1:14" ht="17.100000000000001" customHeight="1">
      <c r="A33" s="1621" t="s">
        <v>287</v>
      </c>
      <c r="B33" s="1622"/>
      <c r="C33" s="1622"/>
      <c r="D33" s="551"/>
      <c r="E33" s="523">
        <f>(E29*75)/100</f>
        <v>384.75</v>
      </c>
      <c r="F33" s="198">
        <f t="shared" si="0"/>
        <v>16.03</v>
      </c>
      <c r="G33" s="267">
        <f>(G29*75)/100</f>
        <v>447.75</v>
      </c>
      <c r="H33" s="527">
        <f t="shared" si="1"/>
        <v>18.66</v>
      </c>
      <c r="I33" s="196"/>
      <c r="K33" s="49"/>
      <c r="L33" s="2"/>
      <c r="M33" s="2"/>
      <c r="N33" s="2"/>
    </row>
    <row r="34" spans="1:14" ht="17.100000000000001" customHeight="1" thickBot="1">
      <c r="A34" s="1636" t="s">
        <v>58</v>
      </c>
      <c r="B34" s="1637"/>
      <c r="C34" s="1637"/>
      <c r="D34" s="490"/>
      <c r="E34" s="524">
        <f>E29-E33</f>
        <v>128.25</v>
      </c>
      <c r="F34" s="199">
        <f t="shared" si="0"/>
        <v>5.34</v>
      </c>
      <c r="G34" s="441">
        <f>G29-G33</f>
        <v>149.25</v>
      </c>
      <c r="H34" s="528">
        <f t="shared" si="1"/>
        <v>6.22</v>
      </c>
      <c r="I34" s="196"/>
      <c r="K34" s="49"/>
      <c r="L34" s="2"/>
      <c r="M34" s="2"/>
      <c r="N34" s="2"/>
    </row>
    <row r="35" spans="1:14" ht="17.100000000000001" customHeight="1" thickBot="1">
      <c r="A35" s="71"/>
      <c r="B35" s="71"/>
      <c r="C35" s="71"/>
      <c r="D35" s="91"/>
      <c r="E35" s="91"/>
      <c r="F35" s="91"/>
      <c r="G35" s="525"/>
      <c r="H35" s="196"/>
      <c r="I35" s="196"/>
      <c r="K35" s="49"/>
      <c r="L35" s="2"/>
      <c r="M35" s="2"/>
      <c r="N35" s="2"/>
    </row>
    <row r="36" spans="1:14" ht="26.1" customHeight="1" thickBot="1">
      <c r="A36" s="953" t="s">
        <v>59</v>
      </c>
      <c r="B36" s="954"/>
      <c r="C36" s="954"/>
      <c r="D36" s="954"/>
      <c r="E36" s="954"/>
      <c r="F36" s="954"/>
      <c r="G36" s="954"/>
      <c r="H36" s="1023"/>
      <c r="J36" s="2"/>
      <c r="K36" s="2"/>
      <c r="L36" s="2"/>
      <c r="M36" s="2"/>
    </row>
    <row r="37" spans="1:14" ht="24" customHeight="1">
      <c r="A37" s="1526" t="s">
        <v>410</v>
      </c>
      <c r="B37" s="1527"/>
      <c r="C37" s="1527"/>
      <c r="D37" s="1527"/>
      <c r="E37" s="1527"/>
      <c r="F37" s="1527"/>
      <c r="G37" s="1528"/>
      <c r="H37" s="105" t="s">
        <v>63</v>
      </c>
      <c r="I37" s="515"/>
      <c r="J37" s="515"/>
      <c r="K37" s="2"/>
      <c r="L37" s="2"/>
      <c r="M37" s="2"/>
    </row>
    <row r="38" spans="1:14" ht="17.25" customHeight="1">
      <c r="A38" s="1638" t="s">
        <v>129</v>
      </c>
      <c r="B38" s="1639"/>
      <c r="C38" s="1639"/>
      <c r="D38" s="1639"/>
      <c r="E38" s="492"/>
      <c r="F38" s="492"/>
      <c r="G38" s="492"/>
      <c r="H38" s="106">
        <v>2.23</v>
      </c>
      <c r="I38" s="550"/>
      <c r="J38" s="515"/>
      <c r="K38" s="515"/>
      <c r="L38" s="2"/>
      <c r="M38" s="2"/>
      <c r="N38" s="2"/>
    </row>
    <row r="39" spans="1:14" ht="17.100000000000001" customHeight="1" thickBot="1">
      <c r="A39" s="1640" t="s">
        <v>390</v>
      </c>
      <c r="B39" s="1641"/>
      <c r="C39" s="1641"/>
      <c r="D39" s="1641"/>
      <c r="E39" s="493"/>
      <c r="F39" s="493"/>
      <c r="G39" s="493"/>
      <c r="H39" s="107">
        <v>3.81</v>
      </c>
      <c r="I39" s="550"/>
      <c r="J39" s="515"/>
      <c r="K39" s="515"/>
      <c r="L39" s="2"/>
      <c r="M39" s="2"/>
      <c r="N39" s="2"/>
    </row>
    <row r="40" spans="1:14" ht="17.100000000000001" customHeight="1">
      <c r="A40" s="1566" t="s">
        <v>397</v>
      </c>
      <c r="B40" s="1566"/>
      <c r="C40" s="1566"/>
      <c r="D40" s="1566"/>
      <c r="E40" s="494"/>
      <c r="F40" s="494"/>
      <c r="G40" s="43"/>
      <c r="H40" s="13"/>
      <c r="I40" s="13"/>
      <c r="J40" s="13"/>
      <c r="K40" s="13"/>
    </row>
    <row r="41" spans="1:14" ht="18" customHeight="1" thickBo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4" ht="26.1" customHeight="1" thickBot="1">
      <c r="A42" s="953" t="s">
        <v>60</v>
      </c>
      <c r="B42" s="954"/>
      <c r="C42" s="954"/>
      <c r="D42" s="954"/>
      <c r="E42" s="954"/>
      <c r="F42" s="954"/>
      <c r="G42" s="954"/>
      <c r="H42" s="1023"/>
      <c r="I42" s="13"/>
      <c r="J42" s="13"/>
    </row>
    <row r="43" spans="1:14" ht="24" customHeight="1" thickBot="1">
      <c r="A43" s="1517" t="str">
        <f>A37</f>
        <v>Gældende fra 1. januar 2025</v>
      </c>
      <c r="B43" s="1518"/>
      <c r="C43" s="1518"/>
      <c r="D43" s="1518"/>
      <c r="E43" s="1518"/>
      <c r="F43" s="1518"/>
      <c r="G43" s="1519"/>
      <c r="H43" s="90" t="s">
        <v>63</v>
      </c>
    </row>
    <row r="44" spans="1:14" ht="18.95" customHeight="1">
      <c r="A44" s="1520" t="s">
        <v>61</v>
      </c>
      <c r="B44" s="1521"/>
      <c r="C44" s="1521"/>
      <c r="D44" s="1521"/>
      <c r="E44" s="1521"/>
      <c r="F44" s="1521"/>
      <c r="G44" s="1522"/>
      <c r="H44" s="108">
        <v>973</v>
      </c>
    </row>
    <row r="45" spans="1:14" ht="17.100000000000001" customHeight="1" thickBot="1">
      <c r="A45" s="1523" t="s">
        <v>62</v>
      </c>
      <c r="B45" s="1524"/>
      <c r="C45" s="1524"/>
      <c r="D45" s="1524"/>
      <c r="E45" s="1524"/>
      <c r="F45" s="1524"/>
      <c r="G45" s="1525"/>
      <c r="H45" s="107">
        <v>649</v>
      </c>
      <c r="I45" s="13"/>
      <c r="J45" s="13"/>
      <c r="K45" s="13"/>
    </row>
    <row r="46" spans="1:14" ht="18" customHeight="1" thickBot="1">
      <c r="A46" s="1635"/>
      <c r="B46" s="1635"/>
      <c r="C46" s="1635"/>
      <c r="D46" s="1635"/>
      <c r="E46" s="1635"/>
      <c r="F46" s="1635"/>
      <c r="G46" s="1635"/>
      <c r="H46" s="1635"/>
      <c r="I46" s="13"/>
      <c r="J46" s="13"/>
    </row>
    <row r="47" spans="1:14" ht="26.1" customHeight="1" thickBot="1">
      <c r="A47" s="953" t="s">
        <v>358</v>
      </c>
      <c r="B47" s="954"/>
      <c r="C47" s="954"/>
      <c r="D47" s="954"/>
      <c r="E47" s="954"/>
      <c r="F47" s="954"/>
      <c r="G47" s="954"/>
      <c r="H47" s="1023"/>
      <c r="I47" s="13"/>
      <c r="J47" s="13"/>
    </row>
    <row r="48" spans="1:14" ht="24" customHeight="1" thickBot="1">
      <c r="A48" s="1517" t="str">
        <f>A43</f>
        <v>Gældende fra 1. januar 2025</v>
      </c>
      <c r="B48" s="1518"/>
      <c r="C48" s="1518"/>
      <c r="D48" s="1518"/>
      <c r="E48" s="1518"/>
      <c r="F48" s="1518"/>
      <c r="G48" s="1519"/>
      <c r="H48" s="90" t="s">
        <v>63</v>
      </c>
    </row>
    <row r="49" spans="1:16" ht="18.95" customHeight="1">
      <c r="A49" s="1520" t="s">
        <v>357</v>
      </c>
      <c r="B49" s="1521"/>
      <c r="C49" s="1521"/>
      <c r="D49" s="1521"/>
      <c r="E49" s="1521"/>
      <c r="F49" s="1521"/>
      <c r="G49" s="1522"/>
      <c r="H49" s="108">
        <v>973</v>
      </c>
    </row>
    <row r="50" spans="1:16" ht="17.100000000000001" customHeight="1" thickBot="1">
      <c r="A50" s="1523" t="s">
        <v>359</v>
      </c>
      <c r="B50" s="1524"/>
      <c r="C50" s="1524"/>
      <c r="D50" s="1524"/>
      <c r="E50" s="1524"/>
      <c r="F50" s="1524"/>
      <c r="G50" s="1525"/>
      <c r="H50" s="107">
        <v>487</v>
      </c>
    </row>
    <row r="51" spans="1:16" ht="17.100000000000001" customHeight="1">
      <c r="A51" s="728"/>
      <c r="B51" s="728"/>
      <c r="C51" s="728"/>
      <c r="D51" s="728"/>
      <c r="E51" s="728"/>
      <c r="F51" s="728"/>
      <c r="G51" s="728"/>
      <c r="H51" s="728"/>
    </row>
    <row r="52" spans="1:16" ht="12" customHeight="1" thickBot="1">
      <c r="A52" s="728"/>
      <c r="B52" s="728"/>
      <c r="C52" s="728"/>
      <c r="D52" s="728"/>
      <c r="E52" s="728"/>
      <c r="F52" s="728"/>
      <c r="G52" s="728"/>
    </row>
    <row r="53" spans="1:16" ht="21.95" customHeight="1">
      <c r="A53" s="944" t="s">
        <v>360</v>
      </c>
      <c r="B53" s="945"/>
      <c r="C53" s="945"/>
      <c r="D53" s="945"/>
      <c r="E53" s="945"/>
      <c r="F53" s="945"/>
      <c r="G53" s="945"/>
      <c r="H53" s="946"/>
    </row>
    <row r="54" spans="1:16" ht="17.100000000000001" customHeight="1" thickBot="1">
      <c r="A54" s="999" t="s">
        <v>266</v>
      </c>
      <c r="B54" s="1000"/>
      <c r="C54" s="1000"/>
      <c r="D54" s="1000"/>
      <c r="E54" s="1000"/>
      <c r="F54" s="1000"/>
      <c r="G54" s="1000"/>
      <c r="H54" s="1001"/>
      <c r="I54" s="13"/>
      <c r="J54" s="13"/>
    </row>
    <row r="55" spans="1:16" ht="17.100000000000001" customHeight="1">
      <c r="A55" s="597"/>
      <c r="B55" s="598"/>
      <c r="C55" s="598"/>
      <c r="D55" s="598"/>
      <c r="E55" s="598"/>
      <c r="F55" s="598"/>
      <c r="G55" s="600" t="s">
        <v>95</v>
      </c>
      <c r="H55" s="599" t="s">
        <v>100</v>
      </c>
      <c r="I55" s="13"/>
      <c r="J55" s="13"/>
      <c r="K55" s="13"/>
    </row>
    <row r="56" spans="1:16" ht="18" customHeight="1" thickBot="1">
      <c r="A56" s="595"/>
      <c r="B56" s="596"/>
      <c r="C56" s="596"/>
      <c r="D56" s="596"/>
      <c r="E56" s="596"/>
      <c r="F56" s="596"/>
      <c r="G56" s="519">
        <v>40999</v>
      </c>
      <c r="H56" s="535" t="str">
        <f>'Løntabel gældende fra'!$D$1</f>
        <v>01/11/25</v>
      </c>
      <c r="I56" s="554"/>
      <c r="J56" s="554"/>
      <c r="K56" s="554"/>
    </row>
    <row r="57" spans="1:16" ht="17.100000000000001" customHeight="1">
      <c r="A57" s="1686" t="s">
        <v>189</v>
      </c>
      <c r="B57" s="1687"/>
      <c r="C57" s="1687"/>
      <c r="D57" s="1687"/>
      <c r="E57" s="1687"/>
      <c r="F57" s="772" t="s">
        <v>162</v>
      </c>
      <c r="G57" s="158">
        <v>22.32</v>
      </c>
      <c r="H57" s="773">
        <f>G57+G57*'Løntabel gældende fra'!$D$7%</f>
        <v>27.880492320000002</v>
      </c>
      <c r="I57" s="554"/>
      <c r="J57" s="554"/>
      <c r="K57" s="554"/>
    </row>
    <row r="58" spans="1:16" ht="17.100000000000001" customHeight="1">
      <c r="A58" s="1674" t="s">
        <v>378</v>
      </c>
      <c r="B58" s="1675"/>
      <c r="C58" s="1675"/>
      <c r="D58" s="1675"/>
      <c r="E58" s="1675"/>
      <c r="F58" s="1678" t="s">
        <v>162</v>
      </c>
      <c r="G58" s="1680">
        <v>39.92</v>
      </c>
      <c r="H58" s="1682">
        <f>G58+G58*'Løntabel gældende fra'!$D$7%</f>
        <v>49.865109920000002</v>
      </c>
      <c r="I58" s="1552"/>
      <c r="J58" s="1553"/>
      <c r="K58" s="1553"/>
      <c r="L58" s="1553"/>
      <c r="M58" s="1553"/>
      <c r="N58" s="1553"/>
      <c r="O58" s="1553"/>
      <c r="P58" s="1553"/>
    </row>
    <row r="59" spans="1:16" ht="45" customHeight="1">
      <c r="A59" s="1676"/>
      <c r="B59" s="1677"/>
      <c r="C59" s="1677"/>
      <c r="D59" s="1677"/>
      <c r="E59" s="1677"/>
      <c r="F59" s="1679"/>
      <c r="G59" s="1681"/>
      <c r="H59" s="1683"/>
      <c r="I59" s="1552"/>
      <c r="J59" s="1553"/>
      <c r="K59" s="1553"/>
      <c r="L59" s="1553"/>
      <c r="M59" s="1553"/>
      <c r="N59" s="1553"/>
      <c r="O59" s="1553"/>
      <c r="P59" s="1553"/>
    </row>
    <row r="60" spans="1:16" ht="17.100000000000001" customHeight="1">
      <c r="A60" s="1684" t="s">
        <v>201</v>
      </c>
      <c r="B60" s="1685"/>
      <c r="C60" s="1685"/>
      <c r="D60" s="1685"/>
      <c r="E60" s="1685"/>
      <c r="F60" s="771" t="s">
        <v>162</v>
      </c>
      <c r="G60" s="176">
        <v>39.92</v>
      </c>
      <c r="H60" s="736">
        <f>G60+G60*'Løntabel gældende fra'!$D$7%</f>
        <v>49.865109920000002</v>
      </c>
      <c r="I60" s="1552"/>
      <c r="J60" s="1553"/>
      <c r="K60" s="1553"/>
      <c r="L60" s="1553"/>
      <c r="M60" s="1553"/>
      <c r="N60" s="1553"/>
      <c r="O60" s="1553"/>
      <c r="P60" s="1553"/>
    </row>
    <row r="61" spans="1:16" ht="17.100000000000001" customHeight="1">
      <c r="A61" s="1670" t="s">
        <v>161</v>
      </c>
      <c r="B61" s="1671"/>
      <c r="C61" s="1671"/>
      <c r="D61" s="1671"/>
      <c r="E61" s="1671"/>
      <c r="F61" s="738" t="s">
        <v>162</v>
      </c>
      <c r="G61" s="176">
        <v>39.92</v>
      </c>
      <c r="H61" s="736">
        <f>G61+G61*'Løntabel gældende fra'!$D$7%</f>
        <v>49.865109920000002</v>
      </c>
      <c r="I61" s="1552"/>
      <c r="J61" s="1553"/>
      <c r="K61" s="1553"/>
      <c r="L61" s="1553"/>
      <c r="M61" s="1553"/>
      <c r="N61" s="1553"/>
      <c r="O61" s="1553"/>
      <c r="P61" s="1553"/>
    </row>
    <row r="62" spans="1:16" ht="17.100000000000001" customHeight="1">
      <c r="A62" s="1670" t="s">
        <v>377</v>
      </c>
      <c r="B62" s="1671"/>
      <c r="C62" s="1671"/>
      <c r="D62" s="1671"/>
      <c r="E62" s="1671"/>
      <c r="F62" s="738" t="s">
        <v>162</v>
      </c>
      <c r="G62" s="176">
        <v>6.59</v>
      </c>
      <c r="H62" s="736">
        <f>G62+G62*'Løntabel gældende fra'!$D$7%</f>
        <v>8.23174034</v>
      </c>
      <c r="I62" s="1552"/>
      <c r="J62" s="1553"/>
      <c r="K62" s="1553"/>
      <c r="L62" s="1553"/>
      <c r="M62" s="1553"/>
      <c r="N62" s="1553"/>
      <c r="O62" s="1553"/>
      <c r="P62" s="1553"/>
    </row>
    <row r="63" spans="1:16" ht="17.100000000000001" customHeight="1" thickBot="1">
      <c r="A63" s="1672" t="s">
        <v>313</v>
      </c>
      <c r="B63" s="1673"/>
      <c r="C63" s="1673"/>
      <c r="D63" s="1673"/>
      <c r="E63" s="1673"/>
      <c r="F63" s="739" t="s">
        <v>163</v>
      </c>
      <c r="G63" s="159">
        <v>61.22</v>
      </c>
      <c r="H63" s="737">
        <f>G63+G63*'Løntabel gældende fra'!$D$7%</f>
        <v>76.471493719999998</v>
      </c>
      <c r="I63" s="1552"/>
      <c r="J63" s="1553"/>
      <c r="K63" s="1553"/>
      <c r="L63" s="1553"/>
      <c r="M63" s="1553"/>
      <c r="N63" s="1553"/>
      <c r="O63" s="1553"/>
      <c r="P63" s="1553"/>
    </row>
    <row r="64" spans="1:16" ht="17.100000000000001" customHeight="1" thickBot="1">
      <c r="A64" s="13"/>
      <c r="B64" s="13"/>
      <c r="C64" s="13"/>
      <c r="D64" s="13"/>
      <c r="E64" s="13"/>
      <c r="F64" s="13"/>
      <c r="G64" s="13"/>
      <c r="H64" s="13"/>
      <c r="I64" s="1552"/>
      <c r="J64" s="1553"/>
      <c r="K64" s="1553"/>
      <c r="L64" s="1553"/>
      <c r="M64" s="1553"/>
      <c r="N64" s="1553"/>
      <c r="O64" s="1553"/>
      <c r="P64" s="1553"/>
    </row>
    <row r="65" spans="1:16" ht="17.100000000000001" customHeight="1">
      <c r="A65" s="1099" t="s">
        <v>185</v>
      </c>
      <c r="B65" s="1100"/>
      <c r="C65" s="1100"/>
      <c r="D65" s="1100"/>
      <c r="E65" s="1100"/>
      <c r="F65" s="1100"/>
      <c r="G65" s="1100"/>
      <c r="H65" s="1101"/>
      <c r="I65" s="1552"/>
      <c r="J65" s="1553"/>
      <c r="K65" s="1553"/>
      <c r="L65" s="1553"/>
      <c r="M65" s="1553"/>
      <c r="N65" s="1553"/>
      <c r="O65" s="1553"/>
      <c r="P65" s="1553"/>
    </row>
    <row r="66" spans="1:16" ht="17.100000000000001" customHeight="1" thickBot="1">
      <c r="A66" s="1567" t="s">
        <v>280</v>
      </c>
      <c r="B66" s="1568"/>
      <c r="C66" s="1568"/>
      <c r="D66" s="1568"/>
      <c r="E66" s="1568"/>
      <c r="F66" s="1568"/>
      <c r="G66" s="1568"/>
      <c r="H66" s="1569"/>
      <c r="I66" s="1552"/>
      <c r="J66" s="1553"/>
      <c r="K66" s="1553"/>
      <c r="L66" s="1553"/>
      <c r="M66" s="1553"/>
      <c r="N66" s="1553"/>
      <c r="O66" s="1553"/>
      <c r="P66" s="1553"/>
    </row>
    <row r="67" spans="1:16" ht="17.100000000000001" customHeight="1">
      <c r="A67" s="1629" t="s">
        <v>27</v>
      </c>
      <c r="B67" s="1630"/>
      <c r="C67" s="1630"/>
      <c r="D67" s="1631"/>
      <c r="E67" s="1629" t="s">
        <v>28</v>
      </c>
      <c r="F67" s="1630"/>
      <c r="G67" s="1630"/>
      <c r="H67" s="1631"/>
      <c r="I67" s="1552"/>
      <c r="J67" s="1553"/>
      <c r="K67" s="1553"/>
      <c r="L67" s="1553"/>
      <c r="M67" s="1553"/>
      <c r="N67" s="1553"/>
      <c r="O67" s="1553"/>
      <c r="P67" s="1553"/>
    </row>
    <row r="68" spans="1:16" ht="17.100000000000001" customHeight="1">
      <c r="A68" s="1632">
        <v>40999</v>
      </c>
      <c r="B68" s="1633"/>
      <c r="C68" s="1633"/>
      <c r="D68" s="1634"/>
      <c r="E68" s="1645">
        <v>0</v>
      </c>
      <c r="F68" s="1646"/>
      <c r="G68" s="1646"/>
      <c r="H68" s="1647"/>
      <c r="I68" s="1552"/>
      <c r="J68" s="1553"/>
      <c r="K68" s="1553"/>
      <c r="L68" s="1553"/>
      <c r="M68" s="1553"/>
      <c r="N68" s="1553"/>
      <c r="O68" s="1553"/>
      <c r="P68" s="1553"/>
    </row>
    <row r="69" spans="1:16" ht="17.100000000000001" customHeight="1">
      <c r="A69" s="1632">
        <v>41000</v>
      </c>
      <c r="B69" s="1633"/>
      <c r="C69" s="1633"/>
      <c r="D69" s="1634"/>
      <c r="E69" s="1645">
        <v>1.304</v>
      </c>
      <c r="F69" s="1646"/>
      <c r="G69" s="1646"/>
      <c r="H69" s="1647"/>
      <c r="I69" s="608"/>
      <c r="J69" s="608"/>
    </row>
    <row r="70" spans="1:16" ht="17.100000000000001" customHeight="1">
      <c r="A70" s="1632">
        <v>41365</v>
      </c>
      <c r="B70" s="1633"/>
      <c r="C70" s="1633"/>
      <c r="D70" s="1634"/>
      <c r="E70" s="1645">
        <v>1.304</v>
      </c>
      <c r="F70" s="1646"/>
      <c r="G70" s="1646"/>
      <c r="H70" s="1647"/>
      <c r="I70" s="17"/>
      <c r="J70" s="17"/>
    </row>
    <row r="71" spans="1:16" ht="17.100000000000001" customHeight="1">
      <c r="A71" s="1632">
        <v>41730</v>
      </c>
      <c r="B71" s="1633"/>
      <c r="C71" s="1633"/>
      <c r="D71" s="1634"/>
      <c r="E71" s="1645">
        <v>1.7161999999999999</v>
      </c>
      <c r="F71" s="1646"/>
      <c r="G71" s="1646"/>
      <c r="H71" s="1647"/>
      <c r="I71" s="613"/>
      <c r="J71" s="613"/>
    </row>
    <row r="72" spans="1:16" ht="17.100000000000001" customHeight="1">
      <c r="A72" s="1666">
        <v>42095</v>
      </c>
      <c r="B72" s="1667"/>
      <c r="C72" s="1667"/>
      <c r="D72" s="1668"/>
      <c r="E72" s="1645">
        <v>2.1745000000000001</v>
      </c>
      <c r="F72" s="1646"/>
      <c r="G72" s="1646"/>
      <c r="H72" s="1647"/>
      <c r="I72" s="614"/>
      <c r="J72" s="614"/>
    </row>
    <row r="73" spans="1:16" ht="17.100000000000001" customHeight="1">
      <c r="A73" s="1632">
        <v>42461</v>
      </c>
      <c r="B73" s="1633"/>
      <c r="C73" s="1633"/>
      <c r="D73" s="1634"/>
      <c r="E73" s="1645">
        <v>2.9882</v>
      </c>
      <c r="F73" s="1646"/>
      <c r="G73" s="1646"/>
      <c r="H73" s="1647"/>
      <c r="I73" s="614"/>
      <c r="J73" s="614"/>
    </row>
    <row r="74" spans="1:16" ht="17.100000000000001" customHeight="1">
      <c r="A74" s="1648">
        <v>42826</v>
      </c>
      <c r="B74" s="1649"/>
      <c r="C74" s="1649"/>
      <c r="D74" s="1650"/>
      <c r="E74" s="1645">
        <v>4.2446000000000002</v>
      </c>
      <c r="F74" s="1646"/>
      <c r="G74" s="1646"/>
      <c r="H74" s="1647"/>
      <c r="I74" s="614"/>
      <c r="J74" s="614"/>
    </row>
    <row r="75" spans="1:16" ht="17.100000000000001" customHeight="1">
      <c r="A75" s="1632">
        <v>43070</v>
      </c>
      <c r="B75" s="1633"/>
      <c r="C75" s="1633"/>
      <c r="D75" s="1634"/>
      <c r="E75" s="1645">
        <v>5.7702999999999998</v>
      </c>
      <c r="F75" s="1646"/>
      <c r="G75" s="1646"/>
      <c r="H75" s="1647"/>
      <c r="I75" s="614"/>
      <c r="J75" s="614"/>
    </row>
    <row r="76" spans="1:16" ht="17.100000000000001" customHeight="1">
      <c r="A76" s="1632">
        <v>43191</v>
      </c>
      <c r="B76" s="1633"/>
      <c r="C76" s="1633"/>
      <c r="D76" s="1634"/>
      <c r="E76" s="1645">
        <v>6.9683000000000002</v>
      </c>
      <c r="F76" s="1646"/>
      <c r="G76" s="1646"/>
      <c r="H76" s="1647"/>
      <c r="I76" s="614"/>
      <c r="J76" s="614"/>
    </row>
    <row r="77" spans="1:16" ht="17.100000000000001" customHeight="1">
      <c r="A77" s="1632">
        <v>43374</v>
      </c>
      <c r="B77" s="1633"/>
      <c r="C77" s="1633"/>
      <c r="D77" s="1634"/>
      <c r="E77" s="1645">
        <v>7.4972000000000003</v>
      </c>
      <c r="F77" s="1646"/>
      <c r="G77" s="1646"/>
      <c r="H77" s="1647"/>
      <c r="I77" s="615"/>
      <c r="J77" s="615"/>
    </row>
    <row r="78" spans="1:16" ht="17.100000000000001" customHeight="1">
      <c r="A78" s="1632">
        <v>43556</v>
      </c>
      <c r="B78" s="1633"/>
      <c r="C78" s="1633"/>
      <c r="D78" s="1634"/>
      <c r="E78" s="1645">
        <v>8.4910999999999994</v>
      </c>
      <c r="F78" s="1646"/>
      <c r="G78" s="1646"/>
      <c r="H78" s="1647"/>
      <c r="I78" s="613"/>
      <c r="J78" s="613"/>
    </row>
    <row r="79" spans="1:16" ht="17.100000000000001" customHeight="1">
      <c r="A79" s="1651">
        <v>43739</v>
      </c>
      <c r="B79" s="1652"/>
      <c r="C79" s="1652"/>
      <c r="D79" s="1653"/>
      <c r="E79" s="1654">
        <v>9.4007000000000005</v>
      </c>
      <c r="F79" s="1655"/>
      <c r="G79" s="1655"/>
      <c r="H79" s="1656"/>
      <c r="I79" s="613"/>
      <c r="J79" s="613"/>
    </row>
    <row r="80" spans="1:16" ht="17.100000000000001" customHeight="1">
      <c r="A80" s="1632">
        <v>43922</v>
      </c>
      <c r="B80" s="1633"/>
      <c r="C80" s="1633"/>
      <c r="D80" s="1634"/>
      <c r="E80" s="1645">
        <v>10.323600000000001</v>
      </c>
      <c r="F80" s="1646"/>
      <c r="G80" s="1646"/>
      <c r="H80" s="1647"/>
      <c r="I80" s="613"/>
      <c r="J80" s="613"/>
    </row>
    <row r="81" spans="1:10" ht="17.100000000000001" customHeight="1">
      <c r="A81" s="1657">
        <v>44228</v>
      </c>
      <c r="B81" s="1657"/>
      <c r="C81" s="1657"/>
      <c r="D81" s="1657"/>
      <c r="E81" s="1658">
        <v>10.2211</v>
      </c>
      <c r="F81" s="1659"/>
      <c r="G81" s="1659"/>
      <c r="H81" s="1659"/>
      <c r="I81" s="613"/>
      <c r="J81" s="613"/>
    </row>
    <row r="82" spans="1:10" ht="17.100000000000001" customHeight="1">
      <c r="A82" s="1657">
        <v>44287</v>
      </c>
      <c r="B82" s="1657"/>
      <c r="C82" s="1657"/>
      <c r="D82" s="1657"/>
      <c r="E82" s="1658">
        <v>11.1029</v>
      </c>
      <c r="F82" s="1659"/>
      <c r="G82" s="1659"/>
      <c r="H82" s="1659"/>
      <c r="I82" s="613"/>
      <c r="J82" s="613"/>
    </row>
    <row r="83" spans="1:10" ht="17.100000000000001" customHeight="1">
      <c r="A83" s="1657">
        <v>44470</v>
      </c>
      <c r="B83" s="1657"/>
      <c r="C83" s="1657"/>
      <c r="D83" s="1657"/>
      <c r="E83" s="1660">
        <v>11.4336</v>
      </c>
      <c r="F83" s="1661"/>
      <c r="G83" s="1661"/>
      <c r="H83" s="1662"/>
      <c r="I83" s="613"/>
      <c r="J83" s="613"/>
    </row>
    <row r="84" spans="1:10" ht="17.100000000000001" customHeight="1">
      <c r="A84" s="1657">
        <v>44652</v>
      </c>
      <c r="B84" s="1657"/>
      <c r="C84" s="1657"/>
      <c r="D84" s="1657"/>
      <c r="E84" s="1660">
        <v>13.410399999999999</v>
      </c>
      <c r="F84" s="1661"/>
      <c r="G84" s="1661"/>
      <c r="H84" s="1662"/>
      <c r="I84" s="613"/>
      <c r="J84" s="613"/>
    </row>
    <row r="85" spans="1:10" ht="17.100000000000001" customHeight="1">
      <c r="A85" s="1657">
        <v>44835</v>
      </c>
      <c r="B85" s="1657"/>
      <c r="C85" s="1657"/>
      <c r="D85" s="1657"/>
      <c r="E85" s="1660">
        <v>13.741099999999999</v>
      </c>
      <c r="F85" s="1661"/>
      <c r="G85" s="1661"/>
      <c r="H85" s="1662"/>
      <c r="I85" s="613"/>
      <c r="J85" s="613"/>
    </row>
    <row r="86" spans="1:10" ht="17.100000000000001" customHeight="1">
      <c r="A86" s="1632">
        <v>45017</v>
      </c>
      <c r="B86" s="1633"/>
      <c r="C86" s="1633"/>
      <c r="D86" s="1634"/>
      <c r="E86" s="1660">
        <v>15.533899999999999</v>
      </c>
      <c r="F86" s="1661"/>
      <c r="G86" s="1661"/>
      <c r="H86" s="1662"/>
      <c r="I86" s="613"/>
      <c r="J86" s="613"/>
    </row>
    <row r="87" spans="1:10" ht="17.100000000000001" customHeight="1">
      <c r="A87" s="1657">
        <v>45200</v>
      </c>
      <c r="B87" s="1657"/>
      <c r="C87" s="1657"/>
      <c r="D87" s="1657"/>
      <c r="E87" s="1660">
        <v>15.919700000000001</v>
      </c>
      <c r="F87" s="1661"/>
      <c r="G87" s="1661"/>
      <c r="H87" s="1662"/>
      <c r="I87" s="613"/>
      <c r="J87" s="613"/>
    </row>
    <row r="88" spans="1:10" ht="17.100000000000001" customHeight="1">
      <c r="A88" s="1657">
        <v>45383</v>
      </c>
      <c r="B88" s="1657"/>
      <c r="C88" s="1657"/>
      <c r="D88" s="1657"/>
      <c r="E88" s="1660">
        <v>22.806699999999999</v>
      </c>
      <c r="F88" s="1661"/>
      <c r="G88" s="1661"/>
      <c r="H88" s="1662"/>
      <c r="I88" s="613"/>
      <c r="J88" s="613"/>
    </row>
    <row r="89" spans="1:10" ht="17.100000000000001" customHeight="1" thickBot="1">
      <c r="A89" s="1669">
        <v>45748</v>
      </c>
      <c r="B89" s="1669"/>
      <c r="C89" s="1669"/>
      <c r="D89" s="1669"/>
      <c r="E89" s="1642">
        <v>23.3095</v>
      </c>
      <c r="F89" s="1643"/>
      <c r="G89" s="1643"/>
      <c r="H89" s="1644"/>
      <c r="I89" s="614"/>
      <c r="J89" s="614"/>
    </row>
    <row r="90" spans="1:10" ht="25.5" customHeight="1" thickBot="1">
      <c r="A90" s="607"/>
      <c r="B90" s="607"/>
      <c r="C90" s="607"/>
      <c r="D90" s="607"/>
      <c r="E90" s="607"/>
      <c r="F90" s="607"/>
      <c r="G90" s="607"/>
      <c r="H90" s="607"/>
      <c r="I90" s="614"/>
      <c r="J90" s="614"/>
    </row>
    <row r="91" spans="1:10" ht="18.75" thickBot="1">
      <c r="A91" s="1663" t="s">
        <v>71</v>
      </c>
      <c r="B91" s="1664"/>
      <c r="C91" s="1664"/>
      <c r="D91" s="1664"/>
      <c r="E91" s="1664"/>
      <c r="F91" s="1664"/>
      <c r="G91" s="1664"/>
      <c r="H91" s="1665"/>
      <c r="I91" s="13"/>
      <c r="J91" s="13"/>
    </row>
    <row r="92" spans="1:10" ht="15.75" thickBot="1">
      <c r="A92" s="1606" t="s">
        <v>72</v>
      </c>
      <c r="B92" s="1607"/>
      <c r="C92" s="1607"/>
      <c r="D92" s="1607"/>
      <c r="E92" s="1607"/>
      <c r="F92" s="1607"/>
      <c r="G92" s="1607"/>
      <c r="H92" s="1608"/>
      <c r="I92" s="613"/>
      <c r="J92" s="613"/>
    </row>
    <row r="93" spans="1:10">
      <c r="A93" s="1612" t="s">
        <v>202</v>
      </c>
      <c r="B93" s="1613"/>
      <c r="C93" s="1613"/>
      <c r="D93" s="1613"/>
      <c r="E93" s="1613"/>
      <c r="F93" s="1613"/>
      <c r="G93" s="1613"/>
      <c r="H93" s="1614"/>
    </row>
    <row r="94" spans="1:10">
      <c r="A94" s="1615"/>
      <c r="B94" s="1616"/>
      <c r="C94" s="1616"/>
      <c r="D94" s="1616"/>
      <c r="E94" s="1616"/>
      <c r="F94" s="1616"/>
      <c r="G94" s="1616"/>
      <c r="H94" s="1617"/>
      <c r="I94" s="13"/>
      <c r="J94" s="13"/>
    </row>
    <row r="95" spans="1:10">
      <c r="A95" s="1615"/>
      <c r="B95" s="1616"/>
      <c r="C95" s="1616"/>
      <c r="D95" s="1616"/>
      <c r="E95" s="1616"/>
      <c r="F95" s="1616"/>
      <c r="G95" s="1616"/>
      <c r="H95" s="1617"/>
      <c r="I95" s="613"/>
      <c r="J95" s="613"/>
    </row>
    <row r="96" spans="1:10" ht="31.5" customHeight="1">
      <c r="A96" s="1615"/>
      <c r="B96" s="1616"/>
      <c r="C96" s="1616"/>
      <c r="D96" s="1616"/>
      <c r="E96" s="1616"/>
      <c r="F96" s="1616"/>
      <c r="G96" s="1616"/>
      <c r="H96" s="1617"/>
    </row>
    <row r="97" spans="1:10" ht="6" customHeight="1" thickBot="1">
      <c r="A97" s="1618"/>
      <c r="B97" s="1619"/>
      <c r="C97" s="1619"/>
      <c r="D97" s="1619"/>
      <c r="E97" s="1619"/>
      <c r="F97" s="1619"/>
      <c r="G97" s="1619"/>
      <c r="H97" s="1620"/>
    </row>
    <row r="98" spans="1:10" ht="15.75" thickBot="1">
      <c r="A98" s="609"/>
      <c r="B98" s="609"/>
      <c r="C98" s="609"/>
      <c r="D98" s="609"/>
      <c r="E98" s="609"/>
      <c r="F98" s="609"/>
      <c r="G98" s="609"/>
      <c r="H98" s="609"/>
      <c r="I98" s="613"/>
      <c r="J98" s="613"/>
    </row>
    <row r="99" spans="1:10" ht="20.100000000000001" customHeight="1" thickBot="1">
      <c r="A99" s="1606" t="s">
        <v>73</v>
      </c>
      <c r="B99" s="1607"/>
      <c r="C99" s="1607"/>
      <c r="D99" s="1607"/>
      <c r="E99" s="1607"/>
      <c r="F99" s="1607"/>
      <c r="G99" s="1607"/>
      <c r="H99" s="1608"/>
      <c r="I99" s="614"/>
      <c r="J99" s="614"/>
    </row>
    <row r="100" spans="1:10">
      <c r="A100" s="1612" t="s">
        <v>134</v>
      </c>
      <c r="B100" s="1613"/>
      <c r="C100" s="1613"/>
      <c r="D100" s="1613"/>
      <c r="E100" s="1613"/>
      <c r="F100" s="1613"/>
      <c r="G100" s="1613"/>
      <c r="H100" s="1614"/>
      <c r="I100" s="614"/>
      <c r="J100" s="614"/>
    </row>
    <row r="101" spans="1:10" ht="21.95" customHeight="1" thickBot="1">
      <c r="A101" s="1618"/>
      <c r="B101" s="1619"/>
      <c r="C101" s="1619"/>
      <c r="D101" s="1619"/>
      <c r="E101" s="1619"/>
      <c r="F101" s="1619"/>
      <c r="G101" s="1619"/>
      <c r="H101" s="1620"/>
      <c r="I101" s="614"/>
      <c r="J101" s="614"/>
    </row>
    <row r="102" spans="1:10" ht="15.75" thickBot="1">
      <c r="A102" s="610"/>
      <c r="B102" s="610"/>
      <c r="C102" s="610"/>
      <c r="D102" s="610"/>
      <c r="E102" s="610"/>
      <c r="F102" s="610"/>
      <c r="G102" s="610"/>
      <c r="H102" s="610"/>
    </row>
    <row r="103" spans="1:10" ht="15.75" thickBot="1">
      <c r="A103" s="1606" t="s">
        <v>74</v>
      </c>
      <c r="B103" s="1607"/>
      <c r="C103" s="1607"/>
      <c r="D103" s="1607"/>
      <c r="E103" s="1607"/>
      <c r="F103" s="1607"/>
      <c r="G103" s="1607"/>
      <c r="H103" s="1608"/>
    </row>
    <row r="104" spans="1:10" ht="15.75" thickBot="1">
      <c r="A104" s="263" t="s">
        <v>77</v>
      </c>
      <c r="B104" s="262"/>
      <c r="C104" s="262"/>
      <c r="D104" s="262"/>
      <c r="E104" s="262"/>
      <c r="F104" s="262"/>
      <c r="G104" s="262"/>
      <c r="H104" s="264"/>
    </row>
    <row r="105" spans="1:10" ht="15.75" thickBot="1">
      <c r="A105" s="610"/>
      <c r="B105" s="610"/>
      <c r="C105" s="610"/>
      <c r="D105" s="610"/>
      <c r="E105" s="610"/>
      <c r="F105" s="610"/>
      <c r="G105" s="610"/>
      <c r="H105" s="610"/>
    </row>
    <row r="106" spans="1:10" ht="15.75" thickBot="1">
      <c r="A106" s="1606" t="s">
        <v>75</v>
      </c>
      <c r="B106" s="1607"/>
      <c r="C106" s="1607"/>
      <c r="D106" s="1607"/>
      <c r="E106" s="1607"/>
      <c r="F106" s="1607"/>
      <c r="G106" s="1607"/>
      <c r="H106" s="1608"/>
    </row>
    <row r="107" spans="1:10" ht="15.75" thickBot="1">
      <c r="A107" s="1609" t="s">
        <v>78</v>
      </c>
      <c r="B107" s="1610"/>
      <c r="C107" s="1610"/>
      <c r="D107" s="1610"/>
      <c r="E107" s="1610"/>
      <c r="F107" s="1610"/>
      <c r="G107" s="1610"/>
      <c r="H107" s="1611"/>
    </row>
    <row r="108" spans="1:10" ht="15.75" thickBot="1"/>
    <row r="109" spans="1:10" ht="15.75" thickBot="1">
      <c r="A109" s="1606" t="s">
        <v>76</v>
      </c>
      <c r="B109" s="1607"/>
      <c r="C109" s="1607"/>
      <c r="D109" s="1607"/>
      <c r="E109" s="1607"/>
      <c r="F109" s="1607"/>
      <c r="G109" s="1607"/>
      <c r="H109" s="1608"/>
    </row>
    <row r="110" spans="1:10">
      <c r="A110" s="1612" t="s">
        <v>299</v>
      </c>
      <c r="B110" s="1613"/>
      <c r="C110" s="1613"/>
      <c r="D110" s="1613"/>
      <c r="E110" s="1613"/>
      <c r="F110" s="1613"/>
      <c r="G110" s="1613"/>
      <c r="H110" s="1614"/>
    </row>
    <row r="111" spans="1:10">
      <c r="A111" s="1615"/>
      <c r="B111" s="1616"/>
      <c r="C111" s="1616"/>
      <c r="D111" s="1616"/>
      <c r="E111" s="1616"/>
      <c r="F111" s="1616"/>
      <c r="G111" s="1616"/>
      <c r="H111" s="1617"/>
    </row>
    <row r="112" spans="1:10" ht="15.75" thickBot="1">
      <c r="A112" s="1618"/>
      <c r="B112" s="1619"/>
      <c r="C112" s="1619"/>
      <c r="D112" s="1619"/>
      <c r="E112" s="1619"/>
      <c r="F112" s="1619"/>
      <c r="G112" s="1619"/>
      <c r="H112" s="1620"/>
    </row>
  </sheetData>
  <sheetProtection sheet="1" objects="1" scenarios="1"/>
  <mergeCells count="140">
    <mergeCell ref="E67:H67"/>
    <mergeCell ref="A62:E62"/>
    <mergeCell ref="A63:E63"/>
    <mergeCell ref="A53:H53"/>
    <mergeCell ref="A54:H54"/>
    <mergeCell ref="A58:E59"/>
    <mergeCell ref="F58:F59"/>
    <mergeCell ref="G58:G59"/>
    <mergeCell ref="H58:H59"/>
    <mergeCell ref="A60:E60"/>
    <mergeCell ref="A61:E61"/>
    <mergeCell ref="A57:E57"/>
    <mergeCell ref="A103:H103"/>
    <mergeCell ref="A93:H97"/>
    <mergeCell ref="A91:H91"/>
    <mergeCell ref="A92:H92"/>
    <mergeCell ref="A99:H99"/>
    <mergeCell ref="A100:H101"/>
    <mergeCell ref="A76:D76"/>
    <mergeCell ref="E76:H76"/>
    <mergeCell ref="A70:D70"/>
    <mergeCell ref="A71:D71"/>
    <mergeCell ref="A72:D72"/>
    <mergeCell ref="A89:D89"/>
    <mergeCell ref="A77:D77"/>
    <mergeCell ref="E77:H77"/>
    <mergeCell ref="A78:D78"/>
    <mergeCell ref="E78:H78"/>
    <mergeCell ref="A80:D80"/>
    <mergeCell ref="E80:H80"/>
    <mergeCell ref="A83:D83"/>
    <mergeCell ref="E83:H83"/>
    <mergeCell ref="A84:D84"/>
    <mergeCell ref="E84:H84"/>
    <mergeCell ref="A85:D85"/>
    <mergeCell ref="E85:H85"/>
    <mergeCell ref="E89:H89"/>
    <mergeCell ref="A73:D73"/>
    <mergeCell ref="E73:H73"/>
    <mergeCell ref="A74:D74"/>
    <mergeCell ref="E74:H74"/>
    <mergeCell ref="E68:H68"/>
    <mergeCell ref="E69:H69"/>
    <mergeCell ref="E70:H70"/>
    <mergeCell ref="E71:H71"/>
    <mergeCell ref="E72:H72"/>
    <mergeCell ref="A75:D75"/>
    <mergeCell ref="E75:H75"/>
    <mergeCell ref="A79:D79"/>
    <mergeCell ref="E79:H79"/>
    <mergeCell ref="A81:D81"/>
    <mergeCell ref="E81:H81"/>
    <mergeCell ref="A82:D82"/>
    <mergeCell ref="E82:H82"/>
    <mergeCell ref="A86:D86"/>
    <mergeCell ref="E86:H86"/>
    <mergeCell ref="A87:D87"/>
    <mergeCell ref="E87:H87"/>
    <mergeCell ref="A88:D88"/>
    <mergeCell ref="E88:H88"/>
    <mergeCell ref="A106:H106"/>
    <mergeCell ref="A109:H109"/>
    <mergeCell ref="A107:H107"/>
    <mergeCell ref="A110:H112"/>
    <mergeCell ref="I25:J25"/>
    <mergeCell ref="A30:C30"/>
    <mergeCell ref="A29:C29"/>
    <mergeCell ref="E27:F27"/>
    <mergeCell ref="G27:H27"/>
    <mergeCell ref="A27:D28"/>
    <mergeCell ref="A33:C33"/>
    <mergeCell ref="A32:C32"/>
    <mergeCell ref="A31:C31"/>
    <mergeCell ref="A67:D67"/>
    <mergeCell ref="A68:D68"/>
    <mergeCell ref="A69:D69"/>
    <mergeCell ref="A46:H46"/>
    <mergeCell ref="A42:H42"/>
    <mergeCell ref="A43:G43"/>
    <mergeCell ref="A44:G44"/>
    <mergeCell ref="A45:G45"/>
    <mergeCell ref="A34:C34"/>
    <mergeCell ref="A38:D38"/>
    <mergeCell ref="A39:D39"/>
    <mergeCell ref="I24:J24"/>
    <mergeCell ref="A20:A21"/>
    <mergeCell ref="I21:J22"/>
    <mergeCell ref="E22:H22"/>
    <mergeCell ref="I23:J23"/>
    <mergeCell ref="B21:D21"/>
    <mergeCell ref="E23:H23"/>
    <mergeCell ref="B22:D22"/>
    <mergeCell ref="B23:D23"/>
    <mergeCell ref="E24:H24"/>
    <mergeCell ref="B24:D24"/>
    <mergeCell ref="I58:P68"/>
    <mergeCell ref="A2:J2"/>
    <mergeCell ref="I1:J1"/>
    <mergeCell ref="I3:J9"/>
    <mergeCell ref="A10:H10"/>
    <mergeCell ref="A11:J11"/>
    <mergeCell ref="I10:J10"/>
    <mergeCell ref="D5:E6"/>
    <mergeCell ref="D7:E7"/>
    <mergeCell ref="D8:E8"/>
    <mergeCell ref="D9:E9"/>
    <mergeCell ref="B4:H4"/>
    <mergeCell ref="F9:G9"/>
    <mergeCell ref="B7:C7"/>
    <mergeCell ref="A40:D40"/>
    <mergeCell ref="A65:H65"/>
    <mergeCell ref="A66:H66"/>
    <mergeCell ref="K21:K22"/>
    <mergeCell ref="E20:H20"/>
    <mergeCell ref="E21:H21"/>
    <mergeCell ref="A14:G14"/>
    <mergeCell ref="A15:G15"/>
    <mergeCell ref="A16:G17"/>
    <mergeCell ref="H16:H17"/>
    <mergeCell ref="A3:H3"/>
    <mergeCell ref="A1:H1"/>
    <mergeCell ref="F7:G7"/>
    <mergeCell ref="B8:C8"/>
    <mergeCell ref="B9:C9"/>
    <mergeCell ref="A19:H19"/>
    <mergeCell ref="B20:D20"/>
    <mergeCell ref="A12:H12"/>
    <mergeCell ref="A13:G13"/>
    <mergeCell ref="A47:H47"/>
    <mergeCell ref="A48:G48"/>
    <mergeCell ref="A49:G49"/>
    <mergeCell ref="A50:G50"/>
    <mergeCell ref="A36:H36"/>
    <mergeCell ref="A37:G37"/>
    <mergeCell ref="A5:A6"/>
    <mergeCell ref="B5:C6"/>
    <mergeCell ref="H5:H6"/>
    <mergeCell ref="F5:G6"/>
    <mergeCell ref="F8:G8"/>
    <mergeCell ref="A26:H2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Footer>&amp;C&amp;"Times New Roman,Normal"&amp;8&amp;K000000Generelle satser&amp;R&amp;"Times New Roman,Normal"&amp;8&amp;K000000Side &amp;P af i alt &amp;N sider</oddFooter>
  </headerFooter>
  <rowBreaks count="2" manualBreakCount="2">
    <brk id="34" max="7" man="1"/>
    <brk id="6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58"/>
  <sheetViews>
    <sheetView view="pageBreakPreview" zoomScale="85" zoomScaleSheetLayoutView="85" workbookViewId="0">
      <selection activeCell="S11" sqref="S11"/>
    </sheetView>
  </sheetViews>
  <sheetFormatPr defaultColWidth="8.85546875" defaultRowHeight="15"/>
  <cols>
    <col min="1" max="1" width="8.85546875" style="13"/>
    <col min="2" max="2" width="8.85546875" style="114" customWidth="1"/>
    <col min="3" max="3" width="12.28515625" style="13" hidden="1" customWidth="1"/>
    <col min="4" max="4" width="12.28515625" style="12" bestFit="1" customWidth="1"/>
    <col min="5" max="5" width="12.85546875" style="12" hidden="1" customWidth="1"/>
    <col min="6" max="6" width="12.28515625" style="12" bestFit="1" customWidth="1"/>
    <col min="7" max="7" width="12.85546875" style="12" hidden="1" customWidth="1"/>
    <col min="8" max="8" width="12.28515625" style="12" bestFit="1" customWidth="1"/>
    <col min="9" max="9" width="12.85546875" style="12" hidden="1" customWidth="1"/>
    <col min="10" max="10" width="12.28515625" style="12" bestFit="1" customWidth="1"/>
    <col min="11" max="11" width="15" style="12" hidden="1" customWidth="1"/>
    <col min="12" max="12" width="12.28515625" style="12" bestFit="1" customWidth="1"/>
    <col min="13" max="13" width="9.7109375" hidden="1" customWidth="1"/>
    <col min="14" max="14" width="20" style="14" hidden="1" customWidth="1"/>
    <col min="15" max="15" width="13.85546875" style="66" customWidth="1"/>
  </cols>
  <sheetData>
    <row r="1" spans="1:15" ht="39.950000000000003" customHeight="1" thickBot="1">
      <c r="A1" s="1693" t="str">
        <f>"Månedslønninger pr. "&amp;'Løntabel gældende fra'!D1&amp;" statens takster"</f>
        <v>Månedslønninger pr. 01/11/25 statens takster</v>
      </c>
      <c r="B1" s="1694"/>
      <c r="C1" s="1694"/>
      <c r="D1" s="1694"/>
      <c r="E1" s="1694"/>
      <c r="F1" s="1694"/>
      <c r="G1" s="1694"/>
      <c r="H1" s="1694"/>
      <c r="I1" s="1694"/>
      <c r="J1" s="1694"/>
      <c r="K1" s="1694"/>
      <c r="L1" s="1694"/>
      <c r="M1" s="1694"/>
      <c r="N1" s="1694"/>
      <c r="O1" s="1695"/>
    </row>
    <row r="2" spans="1:15" ht="18" customHeight="1">
      <c r="A2" s="1696" t="s">
        <v>296</v>
      </c>
      <c r="B2" s="1697"/>
      <c r="C2" s="1697"/>
      <c r="D2" s="1697"/>
      <c r="E2" s="1697"/>
      <c r="F2" s="1697"/>
      <c r="G2" s="1697"/>
      <c r="H2" s="1697"/>
      <c r="I2" s="1697"/>
      <c r="J2" s="1697"/>
      <c r="K2" s="1697"/>
      <c r="L2" s="1697"/>
      <c r="M2" s="1697"/>
      <c r="N2" s="1697"/>
      <c r="O2" s="1698"/>
    </row>
    <row r="3" spans="1:15" ht="18" customHeight="1">
      <c r="A3" s="1699" t="s">
        <v>297</v>
      </c>
      <c r="B3" s="1700"/>
      <c r="C3" s="1700"/>
      <c r="D3" s="1700"/>
      <c r="E3" s="1700"/>
      <c r="F3" s="1700"/>
      <c r="G3" s="1700"/>
      <c r="H3" s="1700"/>
      <c r="I3" s="1700"/>
      <c r="J3" s="1700"/>
      <c r="K3" s="1700"/>
      <c r="L3" s="1700"/>
      <c r="M3" s="1700"/>
      <c r="N3" s="1700"/>
      <c r="O3" s="1701"/>
    </row>
    <row r="4" spans="1:15" ht="33.75" customHeight="1" thickBot="1">
      <c r="A4" s="1702"/>
      <c r="B4" s="1703"/>
      <c r="C4" s="1703"/>
      <c r="D4" s="1703"/>
      <c r="E4" s="1703"/>
      <c r="F4" s="1703"/>
      <c r="G4" s="1703"/>
      <c r="H4" s="1703"/>
      <c r="I4" s="1703"/>
      <c r="J4" s="1703"/>
      <c r="K4" s="1703"/>
      <c r="L4" s="1703"/>
      <c r="M4" s="1703"/>
      <c r="N4" s="1703"/>
      <c r="O4" s="1704"/>
    </row>
    <row r="5" spans="1:15" s="31" customFormat="1" ht="26.1" customHeight="1" thickBot="1">
      <c r="A5" s="323" t="s">
        <v>57</v>
      </c>
      <c r="B5" s="344"/>
      <c r="C5" s="346" t="s">
        <v>105</v>
      </c>
      <c r="D5" s="323" t="s">
        <v>52</v>
      </c>
      <c r="E5" s="344" t="s">
        <v>106</v>
      </c>
      <c r="F5" s="345" t="s">
        <v>53</v>
      </c>
      <c r="G5" s="346" t="s">
        <v>107</v>
      </c>
      <c r="H5" s="323" t="s">
        <v>54</v>
      </c>
      <c r="I5" s="344" t="s">
        <v>108</v>
      </c>
      <c r="J5" s="345" t="s">
        <v>55</v>
      </c>
      <c r="K5" s="346" t="s">
        <v>109</v>
      </c>
      <c r="L5" s="323" t="s">
        <v>56</v>
      </c>
      <c r="M5" s="347"/>
      <c r="N5" s="348" t="s">
        <v>110</v>
      </c>
      <c r="O5" s="349" t="s">
        <v>111</v>
      </c>
    </row>
    <row r="6" spans="1:15" ht="20.100000000000001" customHeight="1">
      <c r="A6" s="1691">
        <v>1</v>
      </c>
      <c r="B6" s="334" t="s">
        <v>93</v>
      </c>
      <c r="C6" s="186">
        <v>184817</v>
      </c>
      <c r="D6" s="179">
        <f>ROUND((C6*(1+'Løntabel gældende fra'!$D$7%)),0)</f>
        <v>230860</v>
      </c>
      <c r="E6" s="187">
        <v>188265</v>
      </c>
      <c r="F6" s="188">
        <f>ROUND((E6*(1+'Løntabel gældende fra'!$D$7%)),0)</f>
        <v>235167</v>
      </c>
      <c r="G6" s="186">
        <v>190650</v>
      </c>
      <c r="H6" s="179">
        <f>ROUND((G6*(1+'Løntabel gældende fra'!$D$7%)),0)</f>
        <v>238146</v>
      </c>
      <c r="I6" s="187">
        <v>194098</v>
      </c>
      <c r="J6" s="188">
        <f>ROUND((I6*(1+'Løntabel gældende fra'!$D$7%)),0)</f>
        <v>242453</v>
      </c>
      <c r="K6" s="186">
        <v>196484</v>
      </c>
      <c r="L6" s="179">
        <f>ROUND((K6*(1+'Løntabel gældende fra'!$D$7%)),0)</f>
        <v>245433</v>
      </c>
      <c r="M6" s="372"/>
      <c r="N6" s="352">
        <v>171917.38</v>
      </c>
      <c r="O6" s="193">
        <f>ROUND(N6*(1+'Løntabel gældende fra'!$D$7%),2)</f>
        <v>214746.47</v>
      </c>
    </row>
    <row r="7" spans="1:15">
      <c r="A7" s="1689"/>
      <c r="B7" s="356" t="s">
        <v>94</v>
      </c>
      <c r="C7" s="361">
        <f>C6/12</f>
        <v>15401.416666666666</v>
      </c>
      <c r="D7" s="368">
        <f t="shared" ref="D7:L7" si="0">ROUND(D6/12,2)</f>
        <v>19238.330000000002</v>
      </c>
      <c r="E7" s="365">
        <f>E6/12</f>
        <v>15688.75</v>
      </c>
      <c r="F7" s="350">
        <f t="shared" si="0"/>
        <v>19597.25</v>
      </c>
      <c r="G7" s="361">
        <f>G6/12</f>
        <v>15887.5</v>
      </c>
      <c r="H7" s="368">
        <f t="shared" si="0"/>
        <v>19845.5</v>
      </c>
      <c r="I7" s="365">
        <f>I6/12</f>
        <v>16174.833333333334</v>
      </c>
      <c r="J7" s="350">
        <f t="shared" si="0"/>
        <v>20204.419999999998</v>
      </c>
      <c r="K7" s="361">
        <f>K6/12</f>
        <v>16373.666666666666</v>
      </c>
      <c r="L7" s="368">
        <f t="shared" si="0"/>
        <v>20452.75</v>
      </c>
      <c r="M7" s="373"/>
      <c r="N7" s="351"/>
      <c r="O7" s="353">
        <f>ROUND(O6/12,2)</f>
        <v>17895.54</v>
      </c>
    </row>
    <row r="8" spans="1:15" ht="15.75" thickBot="1">
      <c r="A8" s="1690"/>
      <c r="B8" s="336" t="s">
        <v>191</v>
      </c>
      <c r="C8" s="183"/>
      <c r="D8" s="184">
        <f>ROUND(D7/160.33,2)</f>
        <v>119.99</v>
      </c>
      <c r="E8" s="185"/>
      <c r="F8" s="184">
        <f t="shared" ref="F8:O8" si="1">ROUND(F7/160.33,2)</f>
        <v>122.23</v>
      </c>
      <c r="G8" s="184">
        <f t="shared" si="1"/>
        <v>99.09</v>
      </c>
      <c r="H8" s="184">
        <f t="shared" si="1"/>
        <v>123.78</v>
      </c>
      <c r="I8" s="184">
        <f t="shared" si="1"/>
        <v>100.88</v>
      </c>
      <c r="J8" s="184">
        <f t="shared" si="1"/>
        <v>126.02</v>
      </c>
      <c r="K8" s="184">
        <f t="shared" si="1"/>
        <v>102.12</v>
      </c>
      <c r="L8" s="184">
        <f t="shared" si="1"/>
        <v>127.57</v>
      </c>
      <c r="M8" s="184">
        <f t="shared" si="1"/>
        <v>0</v>
      </c>
      <c r="N8" s="184">
        <f t="shared" si="1"/>
        <v>0</v>
      </c>
      <c r="O8" s="184">
        <f t="shared" si="1"/>
        <v>111.62</v>
      </c>
    </row>
    <row r="9" spans="1:15">
      <c r="A9" s="1691">
        <v>2</v>
      </c>
      <c r="B9" s="334" t="s">
        <v>93</v>
      </c>
      <c r="C9" s="186">
        <v>187655</v>
      </c>
      <c r="D9" s="179">
        <f>ROUND((C9*(1+'Løntabel gældende fra'!$D$7%)),0)</f>
        <v>234405</v>
      </c>
      <c r="E9" s="187">
        <v>191187</v>
      </c>
      <c r="F9" s="188">
        <f>ROUND((E9*(1+'Løntabel gældende fra'!$D$7%)),0)</f>
        <v>238817</v>
      </c>
      <c r="G9" s="186">
        <v>193632</v>
      </c>
      <c r="H9" s="179">
        <f>ROUND((G9*(1+'Løntabel gældende fra'!$D$7%)),0)</f>
        <v>241871</v>
      </c>
      <c r="I9" s="187">
        <v>197161</v>
      </c>
      <c r="J9" s="188">
        <f>ROUND((I9*(1+'Løntabel gældende fra'!$D$7%)),0)</f>
        <v>246279</v>
      </c>
      <c r="K9" s="186">
        <v>199607</v>
      </c>
      <c r="L9" s="179">
        <f>ROUND((K9*(1+'Løntabel gældende fra'!$D$7%)),0)</f>
        <v>249334</v>
      </c>
      <c r="M9" s="374"/>
      <c r="N9" s="352">
        <v>174577.34</v>
      </c>
      <c r="O9" s="193">
        <f>ROUND(N9*(1+'Løntabel gældende fra'!$D$7%),2)</f>
        <v>218069.09</v>
      </c>
    </row>
    <row r="10" spans="1:15">
      <c r="A10" s="1689"/>
      <c r="B10" s="356" t="s">
        <v>94</v>
      </c>
      <c r="C10" s="361"/>
      <c r="D10" s="368">
        <f>ROUND(D9/12,2)</f>
        <v>19533.75</v>
      </c>
      <c r="E10" s="365"/>
      <c r="F10" s="350">
        <f>ROUND(F9/12,2)</f>
        <v>19901.419999999998</v>
      </c>
      <c r="G10" s="361">
        <f>G9/12</f>
        <v>16136</v>
      </c>
      <c r="H10" s="368">
        <f>ROUND(H9/12,2)</f>
        <v>20155.919999999998</v>
      </c>
      <c r="I10" s="365">
        <f>I9/12</f>
        <v>16430.083333333332</v>
      </c>
      <c r="J10" s="350">
        <f>ROUND(J9/12,2)</f>
        <v>20523.25</v>
      </c>
      <c r="K10" s="361">
        <f>K9/12</f>
        <v>16633.916666666668</v>
      </c>
      <c r="L10" s="368">
        <f>ROUND(L9/12,2)</f>
        <v>20777.830000000002</v>
      </c>
      <c r="M10" s="373"/>
      <c r="N10" s="351"/>
      <c r="O10" s="353">
        <f>ROUND(O9/12,2)</f>
        <v>18172.419999999998</v>
      </c>
    </row>
    <row r="11" spans="1:15" ht="15.75" thickBot="1">
      <c r="A11" s="1690"/>
      <c r="B11" s="336" t="s">
        <v>191</v>
      </c>
      <c r="C11" s="183">
        <f>C9/12</f>
        <v>15637.916666666666</v>
      </c>
      <c r="D11" s="184">
        <f>ROUND(D10/160.33,2)</f>
        <v>121.83</v>
      </c>
      <c r="E11" s="185">
        <f>E9/12</f>
        <v>15932.25</v>
      </c>
      <c r="F11" s="184">
        <f t="shared" ref="F11:O11" si="2">ROUND(F10/160.33,2)</f>
        <v>124.13</v>
      </c>
      <c r="G11" s="184">
        <f t="shared" si="2"/>
        <v>100.64</v>
      </c>
      <c r="H11" s="184">
        <f t="shared" si="2"/>
        <v>125.72</v>
      </c>
      <c r="I11" s="184">
        <f t="shared" si="2"/>
        <v>102.48</v>
      </c>
      <c r="J11" s="184">
        <f t="shared" si="2"/>
        <v>128.01</v>
      </c>
      <c r="K11" s="184">
        <f t="shared" si="2"/>
        <v>103.75</v>
      </c>
      <c r="L11" s="184">
        <f t="shared" si="2"/>
        <v>129.59</v>
      </c>
      <c r="M11" s="184">
        <f t="shared" si="2"/>
        <v>0</v>
      </c>
      <c r="N11" s="184">
        <f t="shared" si="2"/>
        <v>0</v>
      </c>
      <c r="O11" s="184">
        <f t="shared" si="2"/>
        <v>113.34</v>
      </c>
    </row>
    <row r="12" spans="1:15">
      <c r="A12" s="1691">
        <v>3</v>
      </c>
      <c r="B12" s="334" t="s">
        <v>93</v>
      </c>
      <c r="C12" s="186">
        <v>190571</v>
      </c>
      <c r="D12" s="179">
        <f>ROUND((C12*(1+'Løntabel gældende fra'!$D$7%)),0)</f>
        <v>238047</v>
      </c>
      <c r="E12" s="187">
        <v>194187</v>
      </c>
      <c r="F12" s="188">
        <f>ROUND((E12*(1+'Løntabel gældende fra'!$D$7%)),0)</f>
        <v>242564</v>
      </c>
      <c r="G12" s="186">
        <v>196692</v>
      </c>
      <c r="H12" s="179">
        <f>ROUND((G12*(1+'Løntabel gældende fra'!$D$7%)),0)</f>
        <v>245693</v>
      </c>
      <c r="I12" s="187">
        <v>200308</v>
      </c>
      <c r="J12" s="188">
        <f>ROUND((I12*(1+'Løntabel gældende fra'!$D$7%)),0)</f>
        <v>250210</v>
      </c>
      <c r="K12" s="186">
        <v>202814</v>
      </c>
      <c r="L12" s="179">
        <f>ROUND((K12*(1+'Løntabel gældende fra'!$D$7%)),0)</f>
        <v>253340</v>
      </c>
      <c r="M12" s="374"/>
      <c r="N12" s="352">
        <v>177309.48</v>
      </c>
      <c r="O12" s="193">
        <f>ROUND(N12*(1+'Løntabel gældende fra'!$D$7%),2)</f>
        <v>221481.88</v>
      </c>
    </row>
    <row r="13" spans="1:15">
      <c r="A13" s="1689"/>
      <c r="B13" s="356" t="s">
        <v>94</v>
      </c>
      <c r="C13" s="361">
        <f>C12/12</f>
        <v>15880.916666666666</v>
      </c>
      <c r="D13" s="368">
        <f>ROUND(D12/12,2)</f>
        <v>19837.25</v>
      </c>
      <c r="E13" s="365">
        <f>E12/12</f>
        <v>16182.25</v>
      </c>
      <c r="F13" s="350">
        <f>ROUND(F12/12,2)</f>
        <v>20213.669999999998</v>
      </c>
      <c r="G13" s="361">
        <f>G12/12</f>
        <v>16391</v>
      </c>
      <c r="H13" s="368">
        <f>ROUND(H12/12,2)</f>
        <v>20474.419999999998</v>
      </c>
      <c r="I13" s="365">
        <f>I12/12</f>
        <v>16692.333333333332</v>
      </c>
      <c r="J13" s="350">
        <f>ROUND(J12/12,2)</f>
        <v>20850.830000000002</v>
      </c>
      <c r="K13" s="361">
        <f>K12/12</f>
        <v>16901.166666666668</v>
      </c>
      <c r="L13" s="368">
        <f>ROUND(L12/12,2)</f>
        <v>21111.67</v>
      </c>
      <c r="M13" s="373"/>
      <c r="N13" s="351"/>
      <c r="O13" s="353">
        <f>ROUND(O12/12,2)</f>
        <v>18456.82</v>
      </c>
    </row>
    <row r="14" spans="1:15" ht="15.75" thickBot="1">
      <c r="A14" s="1690"/>
      <c r="B14" s="336" t="s">
        <v>191</v>
      </c>
      <c r="C14" s="362"/>
      <c r="D14" s="184">
        <f>ROUND(D13/160.33,2)</f>
        <v>123.73</v>
      </c>
      <c r="E14" s="366"/>
      <c r="F14" s="184">
        <f t="shared" ref="F14:O14" si="3">ROUND(F13/160.33,2)</f>
        <v>126.08</v>
      </c>
      <c r="G14" s="184">
        <f t="shared" si="3"/>
        <v>102.23</v>
      </c>
      <c r="H14" s="184">
        <f t="shared" si="3"/>
        <v>127.7</v>
      </c>
      <c r="I14" s="184">
        <f t="shared" si="3"/>
        <v>104.11</v>
      </c>
      <c r="J14" s="184">
        <f t="shared" si="3"/>
        <v>130.05000000000001</v>
      </c>
      <c r="K14" s="184">
        <f t="shared" si="3"/>
        <v>105.41</v>
      </c>
      <c r="L14" s="184">
        <f t="shared" si="3"/>
        <v>131.68</v>
      </c>
      <c r="M14" s="184">
        <f t="shared" si="3"/>
        <v>0</v>
      </c>
      <c r="N14" s="184">
        <f t="shared" si="3"/>
        <v>0</v>
      </c>
      <c r="O14" s="184">
        <f t="shared" si="3"/>
        <v>115.12</v>
      </c>
    </row>
    <row r="15" spans="1:15">
      <c r="A15" s="1691">
        <v>4</v>
      </c>
      <c r="B15" s="334" t="s">
        <v>93</v>
      </c>
      <c r="C15" s="186">
        <v>193567</v>
      </c>
      <c r="D15" s="179">
        <f>ROUND((C15*(1+'Løntabel gældende fra'!$D$7%)),0)</f>
        <v>241790</v>
      </c>
      <c r="E15" s="187">
        <v>197274</v>
      </c>
      <c r="F15" s="188">
        <f>ROUND((E15*(1+'Løntabel gældende fra'!$D$7%)),0)</f>
        <v>246420</v>
      </c>
      <c r="G15" s="186">
        <v>199840</v>
      </c>
      <c r="H15" s="179">
        <f>ROUND((G15*(1+'Løntabel gældende fra'!$D$7%)),0)</f>
        <v>249625</v>
      </c>
      <c r="I15" s="187">
        <v>203545</v>
      </c>
      <c r="J15" s="188">
        <f>ROUND((I15*(1+'Løntabel gældende fra'!$D$7%)),0)</f>
        <v>254253</v>
      </c>
      <c r="K15" s="186">
        <v>206110</v>
      </c>
      <c r="L15" s="179">
        <f>ROUND((K15*(1+'Løntabel gældende fra'!$D$7%)),0)</f>
        <v>257457</v>
      </c>
      <c r="M15" s="374"/>
      <c r="N15" s="352">
        <v>180117.41</v>
      </c>
      <c r="O15" s="193">
        <f>ROUND(N15*(1+'Løntabel gældende fra'!$D$7%),2)</f>
        <v>224989.34</v>
      </c>
    </row>
    <row r="16" spans="1:15">
      <c r="A16" s="1689"/>
      <c r="B16" s="356" t="s">
        <v>94</v>
      </c>
      <c r="C16" s="361">
        <f>C15/12</f>
        <v>16130.583333333334</v>
      </c>
      <c r="D16" s="368">
        <f>ROUND(D15/12,2)</f>
        <v>20149.169999999998</v>
      </c>
      <c r="E16" s="365">
        <f>E15/12</f>
        <v>16439.5</v>
      </c>
      <c r="F16" s="350">
        <f>ROUND(F15/12,2)</f>
        <v>20535</v>
      </c>
      <c r="G16" s="361">
        <f>G15/12</f>
        <v>16653.333333333332</v>
      </c>
      <c r="H16" s="368">
        <f>ROUND(H15/12,2)</f>
        <v>20802.080000000002</v>
      </c>
      <c r="I16" s="365">
        <f>I15/12</f>
        <v>16962.083333333332</v>
      </c>
      <c r="J16" s="350">
        <f>ROUND(J15/12,2)</f>
        <v>21187.75</v>
      </c>
      <c r="K16" s="361">
        <f>K15/12</f>
        <v>17175.833333333332</v>
      </c>
      <c r="L16" s="368">
        <f>ROUND(L15/12,2)</f>
        <v>21454.75</v>
      </c>
      <c r="M16" s="373"/>
      <c r="N16" s="351"/>
      <c r="O16" s="353">
        <f>ROUND(O15/12,2)</f>
        <v>18749.11</v>
      </c>
    </row>
    <row r="17" spans="1:15" ht="15.75" thickBot="1">
      <c r="A17" s="1690"/>
      <c r="B17" s="336" t="s">
        <v>191</v>
      </c>
      <c r="C17" s="362"/>
      <c r="D17" s="184">
        <f>ROUND(D16/160.33,2)</f>
        <v>125.67</v>
      </c>
      <c r="E17" s="366"/>
      <c r="F17" s="184">
        <f t="shared" ref="F17:O17" si="4">ROUND(F16/160.33,2)</f>
        <v>128.08000000000001</v>
      </c>
      <c r="G17" s="184">
        <f t="shared" si="4"/>
        <v>103.87</v>
      </c>
      <c r="H17" s="184">
        <f t="shared" si="4"/>
        <v>129.75</v>
      </c>
      <c r="I17" s="184">
        <f t="shared" si="4"/>
        <v>105.79</v>
      </c>
      <c r="J17" s="184">
        <f t="shared" si="4"/>
        <v>132.15</v>
      </c>
      <c r="K17" s="184">
        <f t="shared" si="4"/>
        <v>107.13</v>
      </c>
      <c r="L17" s="184">
        <f t="shared" si="4"/>
        <v>133.82</v>
      </c>
      <c r="M17" s="184">
        <f t="shared" si="4"/>
        <v>0</v>
      </c>
      <c r="N17" s="184">
        <f t="shared" si="4"/>
        <v>0</v>
      </c>
      <c r="O17" s="184">
        <f t="shared" si="4"/>
        <v>116.94</v>
      </c>
    </row>
    <row r="18" spans="1:15">
      <c r="A18" s="1691">
        <v>5</v>
      </c>
      <c r="B18" s="334" t="s">
        <v>93</v>
      </c>
      <c r="C18" s="186">
        <v>196645</v>
      </c>
      <c r="D18" s="179">
        <f>ROUND((C18*(1+'Løntabel gældende fra'!$D$7%)),0)</f>
        <v>245634</v>
      </c>
      <c r="E18" s="187">
        <v>200442</v>
      </c>
      <c r="F18" s="188">
        <f>ROUND((E18*(1+'Løntabel gældende fra'!$D$7%)),0)</f>
        <v>250377</v>
      </c>
      <c r="G18" s="186">
        <v>203072</v>
      </c>
      <c r="H18" s="179">
        <f>ROUND((G18*(1+'Løntabel gældende fra'!$D$7%)),0)</f>
        <v>253663</v>
      </c>
      <c r="I18" s="187">
        <v>206869</v>
      </c>
      <c r="J18" s="188">
        <f>ROUND((I18*(1+'Løntabel gældende fra'!$D$7%)),0)</f>
        <v>258405</v>
      </c>
      <c r="K18" s="186">
        <v>209497</v>
      </c>
      <c r="L18" s="179">
        <f>ROUND((K18*(1+'Løntabel gældende fra'!$D$7%)),0)</f>
        <v>261688</v>
      </c>
      <c r="M18" s="374"/>
      <c r="N18" s="352">
        <v>183001.14</v>
      </c>
      <c r="O18" s="193">
        <f>ROUND(N18*(1+'Løntabel gældende fra'!$D$7%),2)</f>
        <v>228591.48</v>
      </c>
    </row>
    <row r="19" spans="1:15">
      <c r="A19" s="1689"/>
      <c r="B19" s="356" t="s">
        <v>94</v>
      </c>
      <c r="C19" s="361">
        <f>C18/12</f>
        <v>16387.083333333332</v>
      </c>
      <c r="D19" s="368">
        <f>ROUND(D18/12,2)</f>
        <v>20469.5</v>
      </c>
      <c r="E19" s="365">
        <f>E18/12</f>
        <v>16703.5</v>
      </c>
      <c r="F19" s="350">
        <f>ROUND(F18/12,2)</f>
        <v>20864.75</v>
      </c>
      <c r="G19" s="361">
        <f>G18/12</f>
        <v>16922.666666666668</v>
      </c>
      <c r="H19" s="368">
        <f>ROUND(H18/12,2)</f>
        <v>21138.58</v>
      </c>
      <c r="I19" s="365">
        <f>I18/12</f>
        <v>17239.083333333332</v>
      </c>
      <c r="J19" s="350">
        <f>ROUND(J18/12,2)</f>
        <v>21533.75</v>
      </c>
      <c r="K19" s="361">
        <f>K18/12</f>
        <v>17458.083333333332</v>
      </c>
      <c r="L19" s="368">
        <f>ROUND(L18/12,2)</f>
        <v>21807.33</v>
      </c>
      <c r="M19" s="373"/>
      <c r="N19" s="351"/>
      <c r="O19" s="353">
        <f>ROUND(O18/12,2)</f>
        <v>19049.29</v>
      </c>
    </row>
    <row r="20" spans="1:15" ht="15.75" thickBot="1">
      <c r="A20" s="1690"/>
      <c r="B20" s="336" t="s">
        <v>191</v>
      </c>
      <c r="C20" s="362"/>
      <c r="D20" s="184">
        <f>ROUND(D19/160.33,2)</f>
        <v>127.67</v>
      </c>
      <c r="E20" s="366"/>
      <c r="F20" s="184">
        <f t="shared" ref="F20:O20" si="5">ROUND(F19/160.33,2)</f>
        <v>130.13999999999999</v>
      </c>
      <c r="G20" s="184">
        <f t="shared" si="5"/>
        <v>105.55</v>
      </c>
      <c r="H20" s="184">
        <f t="shared" si="5"/>
        <v>131.84</v>
      </c>
      <c r="I20" s="184">
        <f t="shared" si="5"/>
        <v>107.52</v>
      </c>
      <c r="J20" s="184">
        <f t="shared" si="5"/>
        <v>134.31</v>
      </c>
      <c r="K20" s="184">
        <f t="shared" si="5"/>
        <v>108.89</v>
      </c>
      <c r="L20" s="184">
        <f t="shared" si="5"/>
        <v>136.02000000000001</v>
      </c>
      <c r="M20" s="184">
        <f t="shared" si="5"/>
        <v>0</v>
      </c>
      <c r="N20" s="184">
        <f t="shared" si="5"/>
        <v>0</v>
      </c>
      <c r="O20" s="184">
        <f t="shared" si="5"/>
        <v>118.81</v>
      </c>
    </row>
    <row r="21" spans="1:15">
      <c r="A21" s="1688">
        <v>6</v>
      </c>
      <c r="B21" s="177" t="s">
        <v>93</v>
      </c>
      <c r="C21" s="178">
        <v>199810</v>
      </c>
      <c r="D21" s="182">
        <f>ROUND((C21*(1+'Løntabel gældende fra'!$D$7%)),0)</f>
        <v>249588</v>
      </c>
      <c r="E21" s="180">
        <v>203700</v>
      </c>
      <c r="F21" s="181">
        <f>ROUND((E21*(1+'Løntabel gældende fra'!$D$7%)),0)</f>
        <v>254447</v>
      </c>
      <c r="G21" s="178">
        <v>206395</v>
      </c>
      <c r="H21" s="182">
        <f>ROUND((G21*(1+'Løntabel gældende fra'!$D$7%)),0)</f>
        <v>257813</v>
      </c>
      <c r="I21" s="180">
        <v>210285</v>
      </c>
      <c r="J21" s="181">
        <f>ROUND((I21*(1+'Løntabel gældende fra'!$D$7%)),0)</f>
        <v>262672</v>
      </c>
      <c r="K21" s="178">
        <v>212978</v>
      </c>
      <c r="L21" s="182">
        <f>ROUND((K21*(1+'Løntabel gældende fra'!$D$7%)),0)</f>
        <v>266036</v>
      </c>
      <c r="M21" s="375"/>
      <c r="N21" s="354">
        <v>185966.06</v>
      </c>
      <c r="O21" s="355">
        <f>ROUND(N21*(1+'Løntabel gældende fra'!$D$7%),2)</f>
        <v>232295.04000000001</v>
      </c>
    </row>
    <row r="22" spans="1:15">
      <c r="A22" s="1689"/>
      <c r="B22" s="356" t="s">
        <v>94</v>
      </c>
      <c r="C22" s="361">
        <f>C21/12</f>
        <v>16650.833333333332</v>
      </c>
      <c r="D22" s="368">
        <f>ROUND(D21/12,2)</f>
        <v>20799</v>
      </c>
      <c r="E22" s="365">
        <f>E21/12</f>
        <v>16975</v>
      </c>
      <c r="F22" s="350">
        <f>ROUND(F21/12,2)</f>
        <v>21203.919999999998</v>
      </c>
      <c r="G22" s="361">
        <f>G21/12</f>
        <v>17199.583333333332</v>
      </c>
      <c r="H22" s="368">
        <f>ROUND(H21/12,2)</f>
        <v>21484.42</v>
      </c>
      <c r="I22" s="365">
        <f>I21/12</f>
        <v>17523.75</v>
      </c>
      <c r="J22" s="350">
        <f>ROUND(J21/12,2)</f>
        <v>21889.33</v>
      </c>
      <c r="K22" s="361">
        <f>K21/12</f>
        <v>17748.166666666668</v>
      </c>
      <c r="L22" s="368">
        <f>ROUND(L21/12,2)</f>
        <v>22169.67</v>
      </c>
      <c r="M22" s="373"/>
      <c r="N22" s="351"/>
      <c r="O22" s="353">
        <f>ROUND(O21/12,2)</f>
        <v>19357.919999999998</v>
      </c>
    </row>
    <row r="23" spans="1:15" ht="15.75" thickBot="1">
      <c r="A23" s="1692"/>
      <c r="B23" s="357" t="s">
        <v>191</v>
      </c>
      <c r="C23" s="363"/>
      <c r="D23" s="369">
        <f>ROUND(D22/160.33,2)</f>
        <v>129.72999999999999</v>
      </c>
      <c r="E23" s="367"/>
      <c r="F23" s="369">
        <f t="shared" ref="F23:O23" si="6">ROUND(F22/160.33,2)</f>
        <v>132.25</v>
      </c>
      <c r="G23" s="369">
        <f t="shared" si="6"/>
        <v>107.28</v>
      </c>
      <c r="H23" s="369">
        <f t="shared" si="6"/>
        <v>134</v>
      </c>
      <c r="I23" s="369">
        <f t="shared" si="6"/>
        <v>109.3</v>
      </c>
      <c r="J23" s="369">
        <f t="shared" si="6"/>
        <v>136.53</v>
      </c>
      <c r="K23" s="369">
        <f t="shared" si="6"/>
        <v>110.7</v>
      </c>
      <c r="L23" s="369">
        <f t="shared" si="6"/>
        <v>138.28</v>
      </c>
      <c r="M23" s="369">
        <f t="shared" si="6"/>
        <v>0</v>
      </c>
      <c r="N23" s="369">
        <f t="shared" si="6"/>
        <v>0</v>
      </c>
      <c r="O23" s="369">
        <f t="shared" si="6"/>
        <v>120.74</v>
      </c>
    </row>
    <row r="24" spans="1:15">
      <c r="A24" s="1691">
        <v>7</v>
      </c>
      <c r="B24" s="334" t="s">
        <v>93</v>
      </c>
      <c r="C24" s="186">
        <v>203058</v>
      </c>
      <c r="D24" s="179">
        <f>ROUND((C24*(1+'Løntabel gældende fra'!$D$7%)),0)</f>
        <v>253645</v>
      </c>
      <c r="E24" s="187">
        <v>207045</v>
      </c>
      <c r="F24" s="188">
        <f>ROUND((E24*(1+'Løntabel gældende fra'!$D$7%)),0)</f>
        <v>258625</v>
      </c>
      <c r="G24" s="186">
        <v>209805</v>
      </c>
      <c r="H24" s="179">
        <f>ROUND((G24*(1+'Løntabel gældende fra'!$D$7%)),0)</f>
        <v>262073</v>
      </c>
      <c r="I24" s="187">
        <v>213792</v>
      </c>
      <c r="J24" s="188">
        <f>ROUND((I24*(1+'Løntabel gældende fra'!$D$7%)),0)</f>
        <v>267053</v>
      </c>
      <c r="K24" s="186">
        <v>216551</v>
      </c>
      <c r="L24" s="179">
        <f>ROUND((K24*(1+'Løntabel gældende fra'!$D$7%)),0)</f>
        <v>270499</v>
      </c>
      <c r="M24" s="374"/>
      <c r="N24" s="352">
        <v>189010.4</v>
      </c>
      <c r="O24" s="193">
        <f>ROUND(N24*(1+'Løntabel gældende fra'!$D$7%),2)</f>
        <v>236097.8</v>
      </c>
    </row>
    <row r="25" spans="1:15">
      <c r="A25" s="1689"/>
      <c r="B25" s="356" t="s">
        <v>94</v>
      </c>
      <c r="C25" s="361"/>
      <c r="D25" s="368">
        <f>ROUND(D24/12,2)</f>
        <v>21137.08</v>
      </c>
      <c r="E25" s="365">
        <f>E24/12</f>
        <v>17253.75</v>
      </c>
      <c r="F25" s="350">
        <f>ROUND(F24/12,2)</f>
        <v>21552.080000000002</v>
      </c>
      <c r="G25" s="361">
        <f>G24/12</f>
        <v>17483.75</v>
      </c>
      <c r="H25" s="368">
        <f>ROUND(H24/12,2)</f>
        <v>21839.42</v>
      </c>
      <c r="I25" s="365">
        <f>I24/12</f>
        <v>17816</v>
      </c>
      <c r="J25" s="350">
        <f>ROUND(J24/12,2)</f>
        <v>22254.42</v>
      </c>
      <c r="K25" s="361">
        <f>K24/12</f>
        <v>18045.916666666668</v>
      </c>
      <c r="L25" s="368">
        <f>ROUND(L24/12,2)</f>
        <v>22541.58</v>
      </c>
      <c r="M25" s="373"/>
      <c r="N25" s="351"/>
      <c r="O25" s="353">
        <f>ROUND(O24/12,2)</f>
        <v>19674.82</v>
      </c>
    </row>
    <row r="26" spans="1:15" ht="15.75" thickBot="1">
      <c r="A26" s="1690"/>
      <c r="B26" s="336" t="s">
        <v>191</v>
      </c>
      <c r="C26" s="183">
        <f>C24/12</f>
        <v>16921.5</v>
      </c>
      <c r="D26" s="184">
        <f>ROUND(D25/160.33,2)</f>
        <v>131.83000000000001</v>
      </c>
      <c r="E26" s="366"/>
      <c r="F26" s="184">
        <f t="shared" ref="F26:O26" si="7">ROUND(F25/160.33,2)</f>
        <v>134.41999999999999</v>
      </c>
      <c r="G26" s="184">
        <f t="shared" si="7"/>
        <v>109.05</v>
      </c>
      <c r="H26" s="184">
        <f t="shared" si="7"/>
        <v>136.22</v>
      </c>
      <c r="I26" s="184">
        <f t="shared" si="7"/>
        <v>111.12</v>
      </c>
      <c r="J26" s="184">
        <f t="shared" si="7"/>
        <v>138.80000000000001</v>
      </c>
      <c r="K26" s="184">
        <f t="shared" si="7"/>
        <v>112.55</v>
      </c>
      <c r="L26" s="184">
        <f t="shared" si="7"/>
        <v>140.59</v>
      </c>
      <c r="M26" s="184">
        <f t="shared" si="7"/>
        <v>0</v>
      </c>
      <c r="N26" s="184">
        <f t="shared" si="7"/>
        <v>0</v>
      </c>
      <c r="O26" s="184">
        <f t="shared" si="7"/>
        <v>122.71</v>
      </c>
    </row>
    <row r="27" spans="1:15">
      <c r="A27" s="1688">
        <v>8</v>
      </c>
      <c r="B27" s="177" t="s">
        <v>93</v>
      </c>
      <c r="C27" s="178">
        <v>206396</v>
      </c>
      <c r="D27" s="182">
        <f>ROUND((C27*(1+'Løntabel gældende fra'!$D$7%)),0)</f>
        <v>257815</v>
      </c>
      <c r="E27" s="180">
        <v>210482</v>
      </c>
      <c r="F27" s="181">
        <f>ROUND((E27*(1+'Løntabel gældende fra'!$D$7%)),0)</f>
        <v>262919</v>
      </c>
      <c r="G27" s="178">
        <v>213311</v>
      </c>
      <c r="H27" s="182">
        <f>ROUND((G27*(1+'Løntabel gældende fra'!$D$7%)),0)</f>
        <v>266452</v>
      </c>
      <c r="I27" s="180">
        <v>217397</v>
      </c>
      <c r="J27" s="181">
        <f>ROUND((I27*(1+'Løntabel gældende fra'!$D$7%)),0)</f>
        <v>271556</v>
      </c>
      <c r="K27" s="178">
        <v>220226</v>
      </c>
      <c r="L27" s="182">
        <f>ROUND((K27*(1+'Løntabel gældende fra'!$D$7%)),0)</f>
        <v>275090</v>
      </c>
      <c r="M27" s="375"/>
      <c r="N27" s="354">
        <v>192139.54</v>
      </c>
      <c r="O27" s="355">
        <f>ROUND(N27*(1+'Løntabel gældende fra'!$D$7%),2)</f>
        <v>240006.5</v>
      </c>
    </row>
    <row r="28" spans="1:15">
      <c r="A28" s="1689"/>
      <c r="B28" s="356" t="s">
        <v>94</v>
      </c>
      <c r="C28" s="361"/>
      <c r="D28" s="368">
        <f>ROUND(D27/12,2)</f>
        <v>21484.58</v>
      </c>
      <c r="E28" s="365">
        <f>E27/12</f>
        <v>17540.166666666668</v>
      </c>
      <c r="F28" s="350">
        <f>ROUND(F27/12,2)</f>
        <v>21909.919999999998</v>
      </c>
      <c r="G28" s="361">
        <f>G27/12</f>
        <v>17775.916666666668</v>
      </c>
      <c r="H28" s="368">
        <f>ROUND(H27/12,2)</f>
        <v>22204.33</v>
      </c>
      <c r="I28" s="365">
        <f>I27/12</f>
        <v>18116.416666666668</v>
      </c>
      <c r="J28" s="350">
        <f>ROUND(J27/12,2)</f>
        <v>22629.67</v>
      </c>
      <c r="K28" s="361">
        <f>K27/12</f>
        <v>18352.166666666668</v>
      </c>
      <c r="L28" s="368">
        <f>ROUND(L27/12,2)</f>
        <v>22924.17</v>
      </c>
      <c r="M28" s="373"/>
      <c r="N28" s="351"/>
      <c r="O28" s="353">
        <f>ROUND(O27/12,2)</f>
        <v>20000.54</v>
      </c>
    </row>
    <row r="29" spans="1:15" ht="15.75" thickBot="1">
      <c r="A29" s="1692"/>
      <c r="B29" s="357" t="s">
        <v>191</v>
      </c>
      <c r="C29" s="364">
        <f>C27/12</f>
        <v>17199.666666666668</v>
      </c>
      <c r="D29" s="369">
        <f>ROUND(D28/160.33,2)</f>
        <v>134</v>
      </c>
      <c r="E29" s="367"/>
      <c r="F29" s="369">
        <f t="shared" ref="F29:O29" si="8">ROUND(F28/160.33,2)</f>
        <v>136.66</v>
      </c>
      <c r="G29" s="369">
        <f t="shared" si="8"/>
        <v>110.87</v>
      </c>
      <c r="H29" s="369">
        <f t="shared" si="8"/>
        <v>138.49</v>
      </c>
      <c r="I29" s="369">
        <f t="shared" si="8"/>
        <v>112.99</v>
      </c>
      <c r="J29" s="369">
        <f t="shared" si="8"/>
        <v>141.13999999999999</v>
      </c>
      <c r="K29" s="369">
        <f t="shared" si="8"/>
        <v>114.46</v>
      </c>
      <c r="L29" s="369">
        <f t="shared" si="8"/>
        <v>142.97999999999999</v>
      </c>
      <c r="M29" s="369">
        <f t="shared" si="8"/>
        <v>0</v>
      </c>
      <c r="N29" s="369">
        <f t="shared" si="8"/>
        <v>0</v>
      </c>
      <c r="O29" s="369">
        <f t="shared" si="8"/>
        <v>124.75</v>
      </c>
    </row>
    <row r="30" spans="1:15">
      <c r="A30" s="1691">
        <v>9</v>
      </c>
      <c r="B30" s="334" t="s">
        <v>93</v>
      </c>
      <c r="C30" s="186">
        <v>209829</v>
      </c>
      <c r="D30" s="179">
        <f>ROUND((C30*(1+'Løntabel gældende fra'!$D$7%)),0)</f>
        <v>262103</v>
      </c>
      <c r="E30" s="187">
        <v>214015</v>
      </c>
      <c r="F30" s="188">
        <f>ROUND((E30*(1+'Løntabel gældende fra'!$D$7%)),0)</f>
        <v>267332</v>
      </c>
      <c r="G30" s="186">
        <v>216916</v>
      </c>
      <c r="H30" s="179">
        <f>ROUND((G30*(1+'Løntabel gældende fra'!$D$7%)),0)</f>
        <v>270955</v>
      </c>
      <c r="I30" s="187">
        <v>221102</v>
      </c>
      <c r="J30" s="188">
        <f>ROUND((I30*(1+'Løntabel gældende fra'!$D$7%)),0)</f>
        <v>276184</v>
      </c>
      <c r="K30" s="186">
        <v>224002</v>
      </c>
      <c r="L30" s="179">
        <f>ROUND((K30*(1+'Løntabel gældende fra'!$D$7%)),0)</f>
        <v>279807</v>
      </c>
      <c r="M30" s="374"/>
      <c r="N30" s="352">
        <v>195355.31</v>
      </c>
      <c r="O30" s="193">
        <f>ROUND(N30*(1+'Løntabel gældende fra'!$D$7%),2)</f>
        <v>244023.4</v>
      </c>
    </row>
    <row r="31" spans="1:15">
      <c r="A31" s="1689"/>
      <c r="B31" s="356" t="s">
        <v>196</v>
      </c>
      <c r="C31" s="361"/>
      <c r="D31" s="368">
        <f>ROUND(D30/12,2)</f>
        <v>21841.919999999998</v>
      </c>
      <c r="E31" s="365">
        <f>E30/12</f>
        <v>17834.583333333332</v>
      </c>
      <c r="F31" s="350">
        <f>ROUND(F30/12,2)</f>
        <v>22277.67</v>
      </c>
      <c r="G31" s="361">
        <f>G30/12</f>
        <v>18076.333333333332</v>
      </c>
      <c r="H31" s="368">
        <f>ROUND(H30/12,2)</f>
        <v>22579.58</v>
      </c>
      <c r="I31" s="365">
        <f>I30/12</f>
        <v>18425.166666666668</v>
      </c>
      <c r="J31" s="350">
        <f>ROUND(J30/12,2)</f>
        <v>23015.33</v>
      </c>
      <c r="K31" s="361">
        <f>K30/12</f>
        <v>18666.833333333332</v>
      </c>
      <c r="L31" s="368">
        <f>ROUND(L30/12,2)</f>
        <v>23317.25</v>
      </c>
      <c r="M31" s="373"/>
      <c r="N31" s="351"/>
      <c r="O31" s="353">
        <f>ROUND(O30/12,2)</f>
        <v>20335.28</v>
      </c>
    </row>
    <row r="32" spans="1:15" ht="15.75" thickBot="1">
      <c r="A32" s="1690"/>
      <c r="B32" s="336" t="s">
        <v>191</v>
      </c>
      <c r="C32" s="183">
        <f>C30/12</f>
        <v>17485.75</v>
      </c>
      <c r="D32" s="184">
        <f>ROUND(D31/160.33,2)</f>
        <v>136.22999999999999</v>
      </c>
      <c r="E32" s="366"/>
      <c r="F32" s="184">
        <f t="shared" ref="F32:O32" si="9">ROUND(F31/160.33,2)</f>
        <v>138.94999999999999</v>
      </c>
      <c r="G32" s="184">
        <f t="shared" si="9"/>
        <v>112.74</v>
      </c>
      <c r="H32" s="184">
        <f t="shared" si="9"/>
        <v>140.83000000000001</v>
      </c>
      <c r="I32" s="184">
        <f t="shared" si="9"/>
        <v>114.92</v>
      </c>
      <c r="J32" s="184">
        <f t="shared" si="9"/>
        <v>143.55000000000001</v>
      </c>
      <c r="K32" s="184">
        <f t="shared" si="9"/>
        <v>116.43</v>
      </c>
      <c r="L32" s="184">
        <f t="shared" si="9"/>
        <v>145.43</v>
      </c>
      <c r="M32" s="184">
        <f t="shared" si="9"/>
        <v>0</v>
      </c>
      <c r="N32" s="184">
        <f t="shared" si="9"/>
        <v>0</v>
      </c>
      <c r="O32" s="184">
        <f t="shared" si="9"/>
        <v>126.83</v>
      </c>
    </row>
    <row r="33" spans="1:15">
      <c r="A33" s="1688">
        <v>10</v>
      </c>
      <c r="B33" s="177" t="s">
        <v>93</v>
      </c>
      <c r="C33" s="178">
        <v>213353</v>
      </c>
      <c r="D33" s="182">
        <f>ROUND((C33*(1+'Løntabel gældende fra'!$D$7%)),0)</f>
        <v>266505</v>
      </c>
      <c r="E33" s="180">
        <v>217646</v>
      </c>
      <c r="F33" s="181">
        <f>ROUND((E33*(1+'Løntabel gældende fra'!$D$7%)),0)</f>
        <v>271867</v>
      </c>
      <c r="G33" s="178">
        <v>220617</v>
      </c>
      <c r="H33" s="182">
        <f>ROUND((G33*(1+'Løntabel gældende fra'!$D$7%)),0)</f>
        <v>275578</v>
      </c>
      <c r="I33" s="180">
        <v>224909</v>
      </c>
      <c r="J33" s="181">
        <f>ROUND((I33*(1+'Løntabel gældende fra'!$D$7%)),0)</f>
        <v>280940</v>
      </c>
      <c r="K33" s="178">
        <v>227882</v>
      </c>
      <c r="L33" s="182">
        <f>ROUND((K33*(1+'Løntabel gældende fra'!$D$7%)),0)</f>
        <v>284653</v>
      </c>
      <c r="M33" s="375"/>
      <c r="N33" s="354">
        <v>198659.5</v>
      </c>
      <c r="O33" s="355">
        <f>ROUND(N33*(1+'Løntabel gældende fra'!$D$7%),2)</f>
        <v>248150.75</v>
      </c>
    </row>
    <row r="34" spans="1:15">
      <c r="A34" s="1689"/>
      <c r="B34" s="356" t="s">
        <v>94</v>
      </c>
      <c r="C34" s="361"/>
      <c r="D34" s="368">
        <f>ROUND(D33/12,2)</f>
        <v>22208.75</v>
      </c>
      <c r="E34" s="365">
        <f>E33/12</f>
        <v>18137.166666666668</v>
      </c>
      <c r="F34" s="350">
        <f>ROUND(F33/12,2)</f>
        <v>22655.58</v>
      </c>
      <c r="G34" s="361">
        <f>G33/12</f>
        <v>18384.75</v>
      </c>
      <c r="H34" s="368">
        <f>ROUND(H33/12,2)</f>
        <v>22964.83</v>
      </c>
      <c r="I34" s="365">
        <f>I33/12</f>
        <v>18742.416666666668</v>
      </c>
      <c r="J34" s="350">
        <f>ROUND(J33/12,2)</f>
        <v>23411.67</v>
      </c>
      <c r="K34" s="361">
        <f>K33/12</f>
        <v>18990.166666666668</v>
      </c>
      <c r="L34" s="368">
        <f>ROUND(L33/12,2)</f>
        <v>23721.08</v>
      </c>
      <c r="M34" s="373"/>
      <c r="N34" s="351"/>
      <c r="O34" s="353">
        <f>ROUND(O33/12,2)</f>
        <v>20679.23</v>
      </c>
    </row>
    <row r="35" spans="1:15" ht="15.75" thickBot="1">
      <c r="A35" s="1692"/>
      <c r="B35" s="357" t="s">
        <v>191</v>
      </c>
      <c r="C35" s="364">
        <f>C33/12</f>
        <v>17779.416666666668</v>
      </c>
      <c r="D35" s="369">
        <f>ROUND(D34/160.33,2)</f>
        <v>138.52000000000001</v>
      </c>
      <c r="E35" s="367"/>
      <c r="F35" s="369">
        <f t="shared" ref="F35:O35" si="10">ROUND(F34/160.33,2)</f>
        <v>141.31</v>
      </c>
      <c r="G35" s="369">
        <f t="shared" si="10"/>
        <v>114.67</v>
      </c>
      <c r="H35" s="369">
        <f t="shared" si="10"/>
        <v>143.22999999999999</v>
      </c>
      <c r="I35" s="369">
        <f t="shared" si="10"/>
        <v>116.9</v>
      </c>
      <c r="J35" s="369">
        <f t="shared" si="10"/>
        <v>146.02000000000001</v>
      </c>
      <c r="K35" s="369">
        <f t="shared" si="10"/>
        <v>118.44</v>
      </c>
      <c r="L35" s="369">
        <f t="shared" si="10"/>
        <v>147.94999999999999</v>
      </c>
      <c r="M35" s="369">
        <f t="shared" si="10"/>
        <v>0</v>
      </c>
      <c r="N35" s="369">
        <f t="shared" si="10"/>
        <v>0</v>
      </c>
      <c r="O35" s="369">
        <f t="shared" si="10"/>
        <v>128.97999999999999</v>
      </c>
    </row>
    <row r="36" spans="1:15">
      <c r="A36" s="1691">
        <v>11</v>
      </c>
      <c r="B36" s="334" t="s">
        <v>93</v>
      </c>
      <c r="C36" s="186">
        <v>216134</v>
      </c>
      <c r="D36" s="179">
        <f>ROUND((C36*(1+'Løntabel gældende fra'!$D$7%)),0)</f>
        <v>269979</v>
      </c>
      <c r="E36" s="187">
        <v>220533</v>
      </c>
      <c r="F36" s="188">
        <f>ROUND((E36*(1+'Løntabel gældende fra'!$D$7%)),0)</f>
        <v>275474</v>
      </c>
      <c r="G36" s="186">
        <v>223579</v>
      </c>
      <c r="H36" s="179">
        <f>ROUND((G36*(1+'Løntabel gældende fra'!$D$7%)),0)</f>
        <v>279278</v>
      </c>
      <c r="I36" s="187">
        <v>227978</v>
      </c>
      <c r="J36" s="188">
        <f>ROUND((I36*(1+'Løntabel gældende fra'!$D$7%)),0)</f>
        <v>284773</v>
      </c>
      <c r="K36" s="186">
        <v>231023</v>
      </c>
      <c r="L36" s="179">
        <f>ROUND((K36*(1+'Løntabel gældende fra'!$D$7%)),0)</f>
        <v>288577</v>
      </c>
      <c r="M36" s="374"/>
      <c r="N36" s="352">
        <v>202053.93</v>
      </c>
      <c r="O36" s="193">
        <f>ROUND(N36*(1+'Løntabel gældende fra'!$D$7%),2)</f>
        <v>252390.82</v>
      </c>
    </row>
    <row r="37" spans="1:15">
      <c r="A37" s="1689"/>
      <c r="B37" s="356" t="s">
        <v>196</v>
      </c>
      <c r="C37" s="361"/>
      <c r="D37" s="368">
        <f>ROUND(D36/12,2)</f>
        <v>22498.25</v>
      </c>
      <c r="E37" s="365">
        <f>E36/12</f>
        <v>18377.75</v>
      </c>
      <c r="F37" s="350">
        <f>ROUND(F36/12,2)</f>
        <v>22956.17</v>
      </c>
      <c r="G37" s="361">
        <f>G36/12</f>
        <v>18631.583333333332</v>
      </c>
      <c r="H37" s="368">
        <f>ROUND(H36/12,2)</f>
        <v>23273.17</v>
      </c>
      <c r="I37" s="365">
        <f>I36/12</f>
        <v>18998.166666666668</v>
      </c>
      <c r="J37" s="350">
        <f>ROUND(J36/12,2)</f>
        <v>23731.08</v>
      </c>
      <c r="K37" s="361">
        <f>K36/12</f>
        <v>19251.916666666668</v>
      </c>
      <c r="L37" s="368">
        <f>ROUND(L36/12,2)</f>
        <v>24048.080000000002</v>
      </c>
      <c r="M37" s="373"/>
      <c r="N37" s="351"/>
      <c r="O37" s="353">
        <f>ROUND(O36/12,2)</f>
        <v>21032.57</v>
      </c>
    </row>
    <row r="38" spans="1:15" ht="15.75" thickBot="1">
      <c r="A38" s="1690"/>
      <c r="B38" s="336" t="s">
        <v>191</v>
      </c>
      <c r="C38" s="183">
        <f>C36/12</f>
        <v>18011.166666666668</v>
      </c>
      <c r="D38" s="184">
        <f>ROUND(D37/160.33,2)</f>
        <v>140.32</v>
      </c>
      <c r="E38" s="366"/>
      <c r="F38" s="184">
        <f t="shared" ref="F38:O38" si="11">ROUND(F37/160.33,2)</f>
        <v>143.18</v>
      </c>
      <c r="G38" s="184">
        <f t="shared" si="11"/>
        <v>116.21</v>
      </c>
      <c r="H38" s="184">
        <f t="shared" si="11"/>
        <v>145.16</v>
      </c>
      <c r="I38" s="184">
        <f t="shared" si="11"/>
        <v>118.49</v>
      </c>
      <c r="J38" s="184">
        <f t="shared" si="11"/>
        <v>148.01</v>
      </c>
      <c r="K38" s="184">
        <f t="shared" si="11"/>
        <v>120.08</v>
      </c>
      <c r="L38" s="184">
        <f t="shared" si="11"/>
        <v>149.99</v>
      </c>
      <c r="M38" s="184">
        <f t="shared" si="11"/>
        <v>0</v>
      </c>
      <c r="N38" s="184">
        <f t="shared" si="11"/>
        <v>0</v>
      </c>
      <c r="O38" s="184">
        <f t="shared" si="11"/>
        <v>131.18</v>
      </c>
    </row>
    <row r="39" spans="1:15">
      <c r="A39" s="1688">
        <v>12</v>
      </c>
      <c r="B39" s="177" t="s">
        <v>93</v>
      </c>
      <c r="C39" s="178">
        <v>219855</v>
      </c>
      <c r="D39" s="182">
        <f>ROUND((C39*(1+'Løntabel gældende fra'!$D$7%)),0)</f>
        <v>274627</v>
      </c>
      <c r="E39" s="180">
        <v>224365</v>
      </c>
      <c r="F39" s="181">
        <f>ROUND((E39*(1+'Løntabel gældende fra'!$D$7%)),0)</f>
        <v>280260</v>
      </c>
      <c r="G39" s="178">
        <v>227489</v>
      </c>
      <c r="H39" s="182">
        <f>ROUND((G39*(1+'Løntabel gældende fra'!$D$7%)),0)</f>
        <v>284162</v>
      </c>
      <c r="I39" s="180">
        <v>231997</v>
      </c>
      <c r="J39" s="181">
        <f>ROUND((I39*(1+'Løntabel gældende fra'!$D$7%)),0)</f>
        <v>289793</v>
      </c>
      <c r="K39" s="178">
        <v>235119</v>
      </c>
      <c r="L39" s="182">
        <f>ROUND((K39*(1+'Løntabel gældende fra'!$D$7%)),0)</f>
        <v>293693</v>
      </c>
      <c r="M39" s="375"/>
      <c r="N39" s="354">
        <v>205542.18</v>
      </c>
      <c r="O39" s="355">
        <f>ROUND(N39*(1+'Løntabel gældende fra'!$D$7%),2)</f>
        <v>256748.08</v>
      </c>
    </row>
    <row r="40" spans="1:15">
      <c r="A40" s="1689"/>
      <c r="B40" s="356" t="s">
        <v>94</v>
      </c>
      <c r="C40" s="361"/>
      <c r="D40" s="368">
        <f>ROUND(D39/12,2)</f>
        <v>22885.58</v>
      </c>
      <c r="E40" s="365">
        <f>E39/12</f>
        <v>18697.083333333332</v>
      </c>
      <c r="F40" s="350">
        <f>ROUND(F39/12,2)</f>
        <v>23355</v>
      </c>
      <c r="G40" s="361">
        <f>G39/12</f>
        <v>18957.416666666668</v>
      </c>
      <c r="H40" s="368">
        <f>ROUND(H39/12,2)</f>
        <v>23680.17</v>
      </c>
      <c r="I40" s="365">
        <f>I39/12</f>
        <v>19333.083333333332</v>
      </c>
      <c r="J40" s="350">
        <f>ROUND(J39/12,2)</f>
        <v>24149.42</v>
      </c>
      <c r="K40" s="361">
        <f>K39/12</f>
        <v>19593.25</v>
      </c>
      <c r="L40" s="368">
        <f>ROUND(L39/12,2)</f>
        <v>24474.42</v>
      </c>
      <c r="M40" s="373"/>
      <c r="N40" s="351"/>
      <c r="O40" s="353">
        <f>ROUND(O39/12,2)</f>
        <v>21395.67</v>
      </c>
    </row>
    <row r="41" spans="1:15" ht="15.75" thickBot="1">
      <c r="A41" s="1692"/>
      <c r="B41" s="357" t="s">
        <v>191</v>
      </c>
      <c r="C41" s="364">
        <f>C39/12</f>
        <v>18321.25</v>
      </c>
      <c r="D41" s="369">
        <f>ROUND(D40/160.33,2)</f>
        <v>142.74</v>
      </c>
      <c r="E41" s="369">
        <f t="shared" ref="E41:O41" si="12">ROUND(E40/160.33,2)</f>
        <v>116.62</v>
      </c>
      <c r="F41" s="369">
        <f t="shared" si="12"/>
        <v>145.66999999999999</v>
      </c>
      <c r="G41" s="369">
        <f t="shared" si="12"/>
        <v>118.24</v>
      </c>
      <c r="H41" s="369">
        <f t="shared" si="12"/>
        <v>147.69999999999999</v>
      </c>
      <c r="I41" s="369">
        <f t="shared" si="12"/>
        <v>120.58</v>
      </c>
      <c r="J41" s="369">
        <f t="shared" si="12"/>
        <v>150.62</v>
      </c>
      <c r="K41" s="369">
        <f t="shared" si="12"/>
        <v>122.21</v>
      </c>
      <c r="L41" s="369">
        <f t="shared" si="12"/>
        <v>152.65</v>
      </c>
      <c r="M41" s="369">
        <f t="shared" si="12"/>
        <v>0</v>
      </c>
      <c r="N41" s="369">
        <f t="shared" si="12"/>
        <v>0</v>
      </c>
      <c r="O41" s="369">
        <f t="shared" si="12"/>
        <v>133.44999999999999</v>
      </c>
    </row>
    <row r="42" spans="1:15">
      <c r="A42" s="1691">
        <v>13</v>
      </c>
      <c r="B42" s="334" t="s">
        <v>93</v>
      </c>
      <c r="C42" s="186">
        <v>223681</v>
      </c>
      <c r="D42" s="179">
        <f>ROUND((C42*(1+'Løntabel gældende fra'!$D$7%)),0)</f>
        <v>279406</v>
      </c>
      <c r="E42" s="187">
        <v>228304</v>
      </c>
      <c r="F42" s="188">
        <f>ROUND((E42*(1+'Løntabel gældende fra'!$D$7%)),0)</f>
        <v>285180</v>
      </c>
      <c r="G42" s="186">
        <v>231504</v>
      </c>
      <c r="H42" s="179">
        <f>ROUND((G42*(1+'Løntabel gældende fra'!$D$7%)),0)</f>
        <v>289178</v>
      </c>
      <c r="I42" s="187">
        <v>236129</v>
      </c>
      <c r="J42" s="188">
        <f>ROUND((I42*(1+'Løntabel gældende fra'!$D$7%)),0)</f>
        <v>294955</v>
      </c>
      <c r="K42" s="186">
        <v>239328</v>
      </c>
      <c r="L42" s="179">
        <f>ROUND((K42*(1+'Løntabel gældende fra'!$D$7%)),0)</f>
        <v>298951</v>
      </c>
      <c r="M42" s="374"/>
      <c r="N42" s="352">
        <v>209126.09</v>
      </c>
      <c r="O42" s="193">
        <f>ROUND(N42*(1+'Løntabel gældende fra'!$D$7%),2)</f>
        <v>261224.84</v>
      </c>
    </row>
    <row r="43" spans="1:15">
      <c r="A43" s="1689"/>
      <c r="B43" s="356" t="s">
        <v>196</v>
      </c>
      <c r="C43" s="361"/>
      <c r="D43" s="368">
        <f>ROUND(D42/12,2)</f>
        <v>23283.83</v>
      </c>
      <c r="E43" s="365">
        <f>E42/12</f>
        <v>19025.333333333332</v>
      </c>
      <c r="F43" s="350">
        <f>ROUND(F42/12,2)</f>
        <v>23765</v>
      </c>
      <c r="G43" s="361">
        <f>G42/12</f>
        <v>19292</v>
      </c>
      <c r="H43" s="368">
        <f>ROUND(H42/12,2)</f>
        <v>24098.17</v>
      </c>
      <c r="I43" s="365">
        <f>I42/12</f>
        <v>19677.416666666668</v>
      </c>
      <c r="J43" s="350">
        <f>ROUND(J42/12,2)</f>
        <v>24579.58</v>
      </c>
      <c r="K43" s="361">
        <f>K42/12</f>
        <v>19944</v>
      </c>
      <c r="L43" s="368">
        <f>ROUND(L42/12,2)</f>
        <v>24912.58</v>
      </c>
      <c r="M43" s="373"/>
      <c r="N43" s="351"/>
      <c r="O43" s="353">
        <f>ROUND(O42/12,2)</f>
        <v>21768.74</v>
      </c>
    </row>
    <row r="44" spans="1:15" ht="15.75" thickBot="1">
      <c r="A44" s="1690"/>
      <c r="B44" s="336" t="s">
        <v>191</v>
      </c>
      <c r="C44" s="183">
        <f>C42/12</f>
        <v>18640.083333333332</v>
      </c>
      <c r="D44" s="184">
        <f>ROUND(D43/160.33,2)</f>
        <v>145.22</v>
      </c>
      <c r="E44" s="366"/>
      <c r="F44" s="184">
        <f t="shared" ref="F44:O44" si="13">ROUND(F43/160.33,2)</f>
        <v>148.22999999999999</v>
      </c>
      <c r="G44" s="184">
        <f t="shared" si="13"/>
        <v>120.33</v>
      </c>
      <c r="H44" s="184">
        <f t="shared" si="13"/>
        <v>150.30000000000001</v>
      </c>
      <c r="I44" s="184">
        <f t="shared" si="13"/>
        <v>122.73</v>
      </c>
      <c r="J44" s="184">
        <f t="shared" si="13"/>
        <v>153.31</v>
      </c>
      <c r="K44" s="184">
        <f t="shared" si="13"/>
        <v>124.39</v>
      </c>
      <c r="L44" s="184">
        <f t="shared" si="13"/>
        <v>155.38</v>
      </c>
      <c r="M44" s="184">
        <f t="shared" si="13"/>
        <v>0</v>
      </c>
      <c r="N44" s="184">
        <f t="shared" si="13"/>
        <v>0</v>
      </c>
      <c r="O44" s="184">
        <f t="shared" si="13"/>
        <v>135.77000000000001</v>
      </c>
    </row>
    <row r="45" spans="1:15">
      <c r="A45" s="1691">
        <v>14</v>
      </c>
      <c r="B45" s="334" t="s">
        <v>93</v>
      </c>
      <c r="C45" s="186">
        <v>227611</v>
      </c>
      <c r="D45" s="179">
        <f>ROUND((C45*(1+'Løntabel gældende fra'!$D$7%)),0)</f>
        <v>284315</v>
      </c>
      <c r="E45" s="187">
        <v>232351</v>
      </c>
      <c r="F45" s="188">
        <f>ROUND((E45*(1+'Løntabel gældende fra'!$D$7%)),0)</f>
        <v>290236</v>
      </c>
      <c r="G45" s="186">
        <v>235632</v>
      </c>
      <c r="H45" s="179">
        <f>ROUND((G45*(1+'Løntabel gældende fra'!$D$7%)),0)</f>
        <v>294334</v>
      </c>
      <c r="I45" s="187">
        <v>240371</v>
      </c>
      <c r="J45" s="188">
        <f>ROUND((I45*(1+'Løntabel gældende fra'!$D$7%)),0)</f>
        <v>300254</v>
      </c>
      <c r="K45" s="186">
        <v>243652</v>
      </c>
      <c r="L45" s="179">
        <f>ROUND((K45*(1+'Løntabel gældende fra'!$D$7%)),0)</f>
        <v>304352</v>
      </c>
      <c r="M45" s="374"/>
      <c r="N45" s="352">
        <v>212809.24</v>
      </c>
      <c r="O45" s="193">
        <f>ROUND(N45*(1+'Løntabel gældende fra'!$D$7%),2)</f>
        <v>265825.55</v>
      </c>
    </row>
    <row r="46" spans="1:15">
      <c r="A46" s="1689"/>
      <c r="B46" s="356" t="s">
        <v>196</v>
      </c>
      <c r="C46" s="361"/>
      <c r="D46" s="368">
        <f>ROUND(D45/12,2)</f>
        <v>23692.92</v>
      </c>
      <c r="E46" s="365">
        <f>E45/12</f>
        <v>19362.583333333332</v>
      </c>
      <c r="F46" s="350">
        <f>ROUND(F45/12,2)</f>
        <v>24186.33</v>
      </c>
      <c r="G46" s="361">
        <f>G45/12</f>
        <v>19636</v>
      </c>
      <c r="H46" s="368">
        <f>ROUND(H45/12,2)</f>
        <v>24527.83</v>
      </c>
      <c r="I46" s="365">
        <f>I45/12</f>
        <v>20030.916666666668</v>
      </c>
      <c r="J46" s="350">
        <f>ROUND(J45/12,2)</f>
        <v>25021.17</v>
      </c>
      <c r="K46" s="361">
        <f>K45/12</f>
        <v>20304.333333333332</v>
      </c>
      <c r="L46" s="368">
        <f>ROUND(L45/12,2)</f>
        <v>25362.67</v>
      </c>
      <c r="M46" s="373"/>
      <c r="N46" s="351"/>
      <c r="O46" s="353">
        <f>ROUND(O45/12,2)</f>
        <v>22152.13</v>
      </c>
    </row>
    <row r="47" spans="1:15" ht="15.75" thickBot="1">
      <c r="A47" s="1690"/>
      <c r="B47" s="336" t="s">
        <v>191</v>
      </c>
      <c r="C47" s="183">
        <f>C45/12</f>
        <v>18967.583333333332</v>
      </c>
      <c r="D47" s="184">
        <f>ROUND(D46/160.33,2)</f>
        <v>147.78</v>
      </c>
      <c r="E47" s="366"/>
      <c r="F47" s="184">
        <f t="shared" ref="F47:O47" si="14">ROUND(F46/160.33,2)</f>
        <v>150.85</v>
      </c>
      <c r="G47" s="184">
        <f t="shared" si="14"/>
        <v>122.47</v>
      </c>
      <c r="H47" s="184">
        <f t="shared" si="14"/>
        <v>152.97999999999999</v>
      </c>
      <c r="I47" s="184">
        <f t="shared" si="14"/>
        <v>124.94</v>
      </c>
      <c r="J47" s="184">
        <f t="shared" si="14"/>
        <v>156.06</v>
      </c>
      <c r="K47" s="184">
        <f t="shared" si="14"/>
        <v>126.64</v>
      </c>
      <c r="L47" s="184">
        <f t="shared" si="14"/>
        <v>158.19</v>
      </c>
      <c r="M47" s="184">
        <f t="shared" si="14"/>
        <v>0</v>
      </c>
      <c r="N47" s="184">
        <f t="shared" si="14"/>
        <v>0</v>
      </c>
      <c r="O47" s="184">
        <f t="shared" si="14"/>
        <v>138.16999999999999</v>
      </c>
    </row>
    <row r="48" spans="1:15">
      <c r="A48" s="1691">
        <v>15</v>
      </c>
      <c r="B48" s="334" t="s">
        <v>93</v>
      </c>
      <c r="C48" s="186">
        <v>231649</v>
      </c>
      <c r="D48" s="179">
        <f>ROUND((C48*(1+'Løntabel gældende fra'!$D$7%)),0)</f>
        <v>289359</v>
      </c>
      <c r="E48" s="187">
        <v>236507</v>
      </c>
      <c r="F48" s="188">
        <f>ROUND((E48*(1+'Løntabel gældende fra'!$D$7%)),0)</f>
        <v>295427</v>
      </c>
      <c r="G48" s="186">
        <v>239870</v>
      </c>
      <c r="H48" s="179">
        <f>ROUND((G48*(1+'Løntabel gældende fra'!$D$7%)),0)</f>
        <v>299628</v>
      </c>
      <c r="I48" s="187">
        <v>244730</v>
      </c>
      <c r="J48" s="188">
        <f>ROUND((I48*(1+'Løntabel gældende fra'!$D$7%)),0)</f>
        <v>305699</v>
      </c>
      <c r="K48" s="186">
        <v>248094</v>
      </c>
      <c r="L48" s="179">
        <f>ROUND((K48*(1+'Løntabel gældende fra'!$D$7%)),0)</f>
        <v>309901</v>
      </c>
      <c r="M48" s="374"/>
      <c r="N48" s="352">
        <v>216591.65</v>
      </c>
      <c r="O48" s="193">
        <f>ROUND(N48*(1+'Løntabel gældende fra'!$D$7%),2)</f>
        <v>270550.26</v>
      </c>
    </row>
    <row r="49" spans="1:15">
      <c r="A49" s="1689"/>
      <c r="B49" s="356" t="s">
        <v>94</v>
      </c>
      <c r="C49" s="361"/>
      <c r="D49" s="368">
        <f>ROUND(D48/12,2)</f>
        <v>24113.25</v>
      </c>
      <c r="E49" s="365">
        <f>E48/12</f>
        <v>19708.916666666668</v>
      </c>
      <c r="F49" s="350">
        <f>ROUND(F48/12,2)</f>
        <v>24618.92</v>
      </c>
      <c r="G49" s="361">
        <f>G48/12</f>
        <v>19989.166666666668</v>
      </c>
      <c r="H49" s="368">
        <f>ROUND(H48/12,2)</f>
        <v>24969</v>
      </c>
      <c r="I49" s="365">
        <f>I48/12</f>
        <v>20394.166666666668</v>
      </c>
      <c r="J49" s="350">
        <f>ROUND(J48/12,2)</f>
        <v>25474.92</v>
      </c>
      <c r="K49" s="361">
        <f>K48/12</f>
        <v>20674.5</v>
      </c>
      <c r="L49" s="368">
        <f>ROUND(L48/12,2)</f>
        <v>25825.08</v>
      </c>
      <c r="M49" s="373"/>
      <c r="N49" s="351"/>
      <c r="O49" s="353">
        <f>ROUND(O48/12,2)</f>
        <v>22545.86</v>
      </c>
    </row>
    <row r="50" spans="1:15" ht="15.75" thickBot="1">
      <c r="A50" s="1690"/>
      <c r="B50" s="336" t="s">
        <v>191</v>
      </c>
      <c r="C50" s="183">
        <f>C48/12</f>
        <v>19304.083333333332</v>
      </c>
      <c r="D50" s="184">
        <f>ROUND(D49/160.33,2)</f>
        <v>150.4</v>
      </c>
      <c r="E50" s="366"/>
      <c r="F50" s="184">
        <f t="shared" ref="F50:O50" si="15">ROUND(F49/160.33,2)</f>
        <v>153.55000000000001</v>
      </c>
      <c r="G50" s="184">
        <f t="shared" si="15"/>
        <v>124.68</v>
      </c>
      <c r="H50" s="184">
        <f t="shared" si="15"/>
        <v>155.74</v>
      </c>
      <c r="I50" s="184">
        <f t="shared" si="15"/>
        <v>127.2</v>
      </c>
      <c r="J50" s="184">
        <f t="shared" si="15"/>
        <v>158.88999999999999</v>
      </c>
      <c r="K50" s="184">
        <f t="shared" si="15"/>
        <v>128.94999999999999</v>
      </c>
      <c r="L50" s="184">
        <f t="shared" si="15"/>
        <v>161.07</v>
      </c>
      <c r="M50" s="184">
        <f t="shared" si="15"/>
        <v>0</v>
      </c>
      <c r="N50" s="184">
        <f t="shared" si="15"/>
        <v>0</v>
      </c>
      <c r="O50" s="184">
        <f t="shared" si="15"/>
        <v>140.62</v>
      </c>
    </row>
    <row r="51" spans="1:15">
      <c r="A51" s="1691">
        <v>16</v>
      </c>
      <c r="B51" s="334" t="s">
        <v>93</v>
      </c>
      <c r="C51" s="186">
        <v>234743</v>
      </c>
      <c r="D51" s="179">
        <f>ROUND((C51*(1+'Løntabel gældende fra'!$D$7%)),0)</f>
        <v>293224</v>
      </c>
      <c r="E51" s="187">
        <v>239725</v>
      </c>
      <c r="F51" s="188">
        <f>ROUND((E51*(1+'Løntabel gældende fra'!$D$7%)),0)</f>
        <v>299447</v>
      </c>
      <c r="G51" s="186">
        <v>243175</v>
      </c>
      <c r="H51" s="179">
        <f>ROUND((G51*(1+'Løntabel gældende fra'!$D$7%)),0)</f>
        <v>303756</v>
      </c>
      <c r="I51" s="187">
        <v>248156</v>
      </c>
      <c r="J51" s="188">
        <f>ROUND((I51*(1+'Løntabel gældende fra'!$D$7%)),0)</f>
        <v>309978</v>
      </c>
      <c r="K51" s="186">
        <v>251606</v>
      </c>
      <c r="L51" s="179">
        <f>ROUND((K51*(1+'Løntabel gældende fra'!$D$7%)),0)</f>
        <v>314288</v>
      </c>
      <c r="M51" s="374"/>
      <c r="N51" s="352">
        <v>220480.52</v>
      </c>
      <c r="O51" s="193">
        <f>ROUND(N51*(1+'Løntabel gældende fra'!$D$7%),2)</f>
        <v>275407.95</v>
      </c>
    </row>
    <row r="52" spans="1:15">
      <c r="A52" s="1689"/>
      <c r="B52" s="356" t="s">
        <v>196</v>
      </c>
      <c r="C52" s="361"/>
      <c r="D52" s="368">
        <f>ROUND(D51/12,2)</f>
        <v>24435.33</v>
      </c>
      <c r="E52" s="365">
        <f>E51/12</f>
        <v>19977.083333333332</v>
      </c>
      <c r="F52" s="350">
        <f>ROUND(F51/12,2)</f>
        <v>24953.919999999998</v>
      </c>
      <c r="G52" s="361">
        <f>G51/12</f>
        <v>20264.583333333332</v>
      </c>
      <c r="H52" s="368">
        <f>ROUND(H51/12,2)</f>
        <v>25313</v>
      </c>
      <c r="I52" s="365">
        <f>I51/12</f>
        <v>20679.666666666668</v>
      </c>
      <c r="J52" s="350">
        <f>ROUND(J51/12,2)</f>
        <v>25831.5</v>
      </c>
      <c r="K52" s="361">
        <f>K51/12</f>
        <v>20967.166666666668</v>
      </c>
      <c r="L52" s="368">
        <f>ROUND(L51/12,2)</f>
        <v>26190.67</v>
      </c>
      <c r="M52" s="373"/>
      <c r="N52" s="351"/>
      <c r="O52" s="353">
        <f>ROUND(O51/12,2)</f>
        <v>22950.66</v>
      </c>
    </row>
    <row r="53" spans="1:15" ht="15.75" thickBot="1">
      <c r="A53" s="1690"/>
      <c r="B53" s="336" t="s">
        <v>191</v>
      </c>
      <c r="C53" s="183">
        <f>C51/12</f>
        <v>19561.916666666668</v>
      </c>
      <c r="D53" s="184">
        <f>ROUND(D52/160.33,2)</f>
        <v>152.41</v>
      </c>
      <c r="E53" s="366"/>
      <c r="F53" s="184">
        <f t="shared" ref="F53:O53" si="16">ROUND(F52/160.33,2)</f>
        <v>155.63999999999999</v>
      </c>
      <c r="G53" s="184">
        <f t="shared" si="16"/>
        <v>126.39</v>
      </c>
      <c r="H53" s="184">
        <f t="shared" si="16"/>
        <v>157.88</v>
      </c>
      <c r="I53" s="184">
        <f t="shared" si="16"/>
        <v>128.97999999999999</v>
      </c>
      <c r="J53" s="184">
        <f t="shared" si="16"/>
        <v>161.11000000000001</v>
      </c>
      <c r="K53" s="184">
        <f t="shared" si="16"/>
        <v>130.78</v>
      </c>
      <c r="L53" s="184">
        <f t="shared" si="16"/>
        <v>163.35</v>
      </c>
      <c r="M53" s="184">
        <f t="shared" si="16"/>
        <v>0</v>
      </c>
      <c r="N53" s="184">
        <f t="shared" si="16"/>
        <v>0</v>
      </c>
      <c r="O53" s="184">
        <f t="shared" si="16"/>
        <v>143.15</v>
      </c>
    </row>
    <row r="54" spans="1:15">
      <c r="A54" s="1688">
        <v>17</v>
      </c>
      <c r="B54" s="177" t="s">
        <v>93</v>
      </c>
      <c r="C54" s="178">
        <v>239005</v>
      </c>
      <c r="D54" s="182">
        <f>ROUND((C54*(1+'Løntabel gældende fra'!$D$7%)),0)</f>
        <v>298547</v>
      </c>
      <c r="E54" s="180">
        <v>244114</v>
      </c>
      <c r="F54" s="181">
        <f>ROUND((E54*(1+'Løntabel gældende fra'!$D$7%)),0)</f>
        <v>304929</v>
      </c>
      <c r="G54" s="178">
        <v>247651</v>
      </c>
      <c r="H54" s="182">
        <f>ROUND((G54*(1+'Løntabel gældende fra'!$D$7%)),0)</f>
        <v>309347</v>
      </c>
      <c r="I54" s="180">
        <v>252759</v>
      </c>
      <c r="J54" s="181">
        <f>ROUND((I54*(1+'Løntabel gældende fra'!$D$7%)),0)</f>
        <v>315728</v>
      </c>
      <c r="K54" s="178">
        <v>256294</v>
      </c>
      <c r="L54" s="182">
        <f>ROUND((K54*(1+'Løntabel gældende fra'!$D$7%)),0)</f>
        <v>320143</v>
      </c>
      <c r="M54" s="375"/>
      <c r="N54" s="354">
        <v>224474.06</v>
      </c>
      <c r="O54" s="355">
        <f>ROUND(N54*(1+'Løntabel gældende fra'!$D$7%),2)</f>
        <v>280396.38</v>
      </c>
    </row>
    <row r="55" spans="1:15">
      <c r="A55" s="1689"/>
      <c r="B55" s="356" t="s">
        <v>196</v>
      </c>
      <c r="C55" s="361"/>
      <c r="D55" s="368">
        <f>ROUND(D54/12,2)</f>
        <v>24878.92</v>
      </c>
      <c r="E55" s="365">
        <f>E54/12</f>
        <v>20342.833333333332</v>
      </c>
      <c r="F55" s="350">
        <f>ROUND(F54/12,2)</f>
        <v>25410.75</v>
      </c>
      <c r="G55" s="361">
        <f>G54/12</f>
        <v>20637.583333333332</v>
      </c>
      <c r="H55" s="368">
        <f>ROUND(H54/12,2)</f>
        <v>25778.92</v>
      </c>
      <c r="I55" s="365">
        <f>I54/12</f>
        <v>21063.25</v>
      </c>
      <c r="J55" s="350">
        <f>ROUND(J54/12,2)</f>
        <v>26310.67</v>
      </c>
      <c r="K55" s="361">
        <f>K54/12</f>
        <v>21357.833333333332</v>
      </c>
      <c r="L55" s="368">
        <f>ROUND(L54/12,2)</f>
        <v>26678.58</v>
      </c>
      <c r="M55" s="373"/>
      <c r="N55" s="351"/>
      <c r="O55" s="353">
        <f>ROUND(O54/12,2)</f>
        <v>23366.37</v>
      </c>
    </row>
    <row r="56" spans="1:15" ht="15.75" thickBot="1">
      <c r="A56" s="1692"/>
      <c r="B56" s="357" t="s">
        <v>191</v>
      </c>
      <c r="C56" s="364">
        <f>C54/12</f>
        <v>19917.083333333332</v>
      </c>
      <c r="D56" s="184">
        <f>ROUND(D55/160.33,2)</f>
        <v>155.16999999999999</v>
      </c>
      <c r="E56" s="367"/>
      <c r="F56" s="184">
        <f t="shared" ref="F56:O56" si="17">ROUND(F55/160.33,2)</f>
        <v>158.49</v>
      </c>
      <c r="G56" s="184">
        <f t="shared" si="17"/>
        <v>128.72</v>
      </c>
      <c r="H56" s="184">
        <f t="shared" si="17"/>
        <v>160.79</v>
      </c>
      <c r="I56" s="184">
        <f t="shared" si="17"/>
        <v>131.37</v>
      </c>
      <c r="J56" s="184">
        <f t="shared" si="17"/>
        <v>164.1</v>
      </c>
      <c r="K56" s="184">
        <f t="shared" si="17"/>
        <v>133.21</v>
      </c>
      <c r="L56" s="184">
        <f t="shared" si="17"/>
        <v>166.4</v>
      </c>
      <c r="M56" s="184">
        <f t="shared" si="17"/>
        <v>0</v>
      </c>
      <c r="N56" s="184">
        <f t="shared" si="17"/>
        <v>0</v>
      </c>
      <c r="O56" s="184">
        <f t="shared" si="17"/>
        <v>145.74</v>
      </c>
    </row>
    <row r="57" spans="1:15">
      <c r="A57" s="1691">
        <v>18</v>
      </c>
      <c r="B57" s="334" t="s">
        <v>93</v>
      </c>
      <c r="C57" s="186">
        <v>243387</v>
      </c>
      <c r="D57" s="179">
        <f>ROUND((C57*(1+'Løntabel gældende fra'!$D$7%)),0)</f>
        <v>304021</v>
      </c>
      <c r="E57" s="187">
        <v>248626</v>
      </c>
      <c r="F57" s="188">
        <f>ROUND((E57*(1+'Løntabel gældende fra'!$D$7%)),0)</f>
        <v>310565</v>
      </c>
      <c r="G57" s="186">
        <v>252252</v>
      </c>
      <c r="H57" s="179">
        <f>ROUND((G57*(1+'Løntabel gældende fra'!$D$7%)),0)</f>
        <v>315095</v>
      </c>
      <c r="I57" s="187">
        <v>257490</v>
      </c>
      <c r="J57" s="188">
        <f>ROUND((I57*(1+'Løntabel gældende fra'!$D$7%)),0)</f>
        <v>321637</v>
      </c>
      <c r="K57" s="186">
        <v>261115</v>
      </c>
      <c r="L57" s="179">
        <f>ROUND((K57*(1+'Løntabel gældende fra'!$D$7%)),0)</f>
        <v>326166</v>
      </c>
      <c r="M57" s="374"/>
      <c r="N57" s="352">
        <v>228579.5</v>
      </c>
      <c r="O57" s="193">
        <f>ROUND(N57*(1+'Løntabel gældende fra'!$D$7%),2)</f>
        <v>285524.59999999998</v>
      </c>
    </row>
    <row r="58" spans="1:15">
      <c r="A58" s="1689"/>
      <c r="B58" s="356" t="s">
        <v>94</v>
      </c>
      <c r="C58" s="361"/>
      <c r="D58" s="368">
        <f>ROUND(D57/12,2)</f>
        <v>25335.08</v>
      </c>
      <c r="E58" s="365">
        <f>E57/12</f>
        <v>20718.833333333332</v>
      </c>
      <c r="F58" s="350">
        <f>ROUND(F57/12,2)</f>
        <v>25880.42</v>
      </c>
      <c r="G58" s="361">
        <f>G57/12</f>
        <v>21021</v>
      </c>
      <c r="H58" s="368">
        <f>ROUND(H57/12,2)</f>
        <v>26257.919999999998</v>
      </c>
      <c r="I58" s="365">
        <f>I57/12</f>
        <v>21457.5</v>
      </c>
      <c r="J58" s="350">
        <f>ROUND(J57/12,2)</f>
        <v>26803.08</v>
      </c>
      <c r="K58" s="361">
        <f>K57/12</f>
        <v>21759.583333333332</v>
      </c>
      <c r="L58" s="368">
        <f>ROUND(L57/12,2)</f>
        <v>27180.5</v>
      </c>
      <c r="M58" s="373"/>
      <c r="N58" s="351"/>
      <c r="O58" s="353">
        <f>ROUND(O57/12,2)</f>
        <v>23793.72</v>
      </c>
    </row>
    <row r="59" spans="1:15" ht="15.75" thickBot="1">
      <c r="A59" s="1690"/>
      <c r="B59" s="336" t="s">
        <v>191</v>
      </c>
      <c r="C59" s="183">
        <f>C57/12</f>
        <v>20282.25</v>
      </c>
      <c r="D59" s="184">
        <f>ROUND(D58/160.33,2)</f>
        <v>158.02000000000001</v>
      </c>
      <c r="E59" s="366"/>
      <c r="F59" s="184">
        <f t="shared" ref="F59:O59" si="18">ROUND(F58/160.33,2)</f>
        <v>161.41999999999999</v>
      </c>
      <c r="G59" s="184">
        <f t="shared" si="18"/>
        <v>131.11000000000001</v>
      </c>
      <c r="H59" s="184">
        <f t="shared" si="18"/>
        <v>163.77000000000001</v>
      </c>
      <c r="I59" s="184">
        <f t="shared" si="18"/>
        <v>133.83000000000001</v>
      </c>
      <c r="J59" s="184">
        <f t="shared" si="18"/>
        <v>167.17</v>
      </c>
      <c r="K59" s="184">
        <f t="shared" si="18"/>
        <v>135.72</v>
      </c>
      <c r="L59" s="184">
        <f t="shared" si="18"/>
        <v>169.53</v>
      </c>
      <c r="M59" s="184">
        <f t="shared" si="18"/>
        <v>0</v>
      </c>
      <c r="N59" s="184">
        <f t="shared" si="18"/>
        <v>0</v>
      </c>
      <c r="O59" s="184">
        <f t="shared" si="18"/>
        <v>148.4</v>
      </c>
    </row>
    <row r="60" spans="1:15">
      <c r="A60" s="1688">
        <v>19</v>
      </c>
      <c r="B60" s="177" t="s">
        <v>93</v>
      </c>
      <c r="C60" s="178">
        <v>246657</v>
      </c>
      <c r="D60" s="182">
        <f>ROUND((C60*(1+'Løntabel gældende fra'!$D$7%)),0)</f>
        <v>308106</v>
      </c>
      <c r="E60" s="180">
        <v>252029</v>
      </c>
      <c r="F60" s="181">
        <f>ROUND((E60*(1+'Løntabel gældende fra'!$D$7%)),0)</f>
        <v>314816</v>
      </c>
      <c r="G60" s="178">
        <v>255746</v>
      </c>
      <c r="H60" s="182">
        <f>ROUND((G60*(1+'Løntabel gældende fra'!$D$7%)),0)</f>
        <v>319459</v>
      </c>
      <c r="I60" s="180">
        <v>261119</v>
      </c>
      <c r="J60" s="181">
        <f>ROUND((I60*(1+'Løntabel gældende fra'!$D$7%)),0)</f>
        <v>326171</v>
      </c>
      <c r="K60" s="178">
        <v>264839</v>
      </c>
      <c r="L60" s="182">
        <f>ROUND((K60*(1+'Løntabel gældende fra'!$D$7%)),0)</f>
        <v>330817</v>
      </c>
      <c r="M60" s="375"/>
      <c r="N60" s="354">
        <v>232796.81</v>
      </c>
      <c r="O60" s="355">
        <f>ROUND(N60*(1+'Løntabel gældende fra'!$D$7%),2)</f>
        <v>290792.55</v>
      </c>
    </row>
    <row r="61" spans="1:15">
      <c r="A61" s="1689"/>
      <c r="B61" s="356" t="s">
        <v>196</v>
      </c>
      <c r="C61" s="361"/>
      <c r="D61" s="368">
        <f>ROUND(D60/12,2)</f>
        <v>25675.5</v>
      </c>
      <c r="E61" s="365">
        <f>E60/12</f>
        <v>21002.416666666668</v>
      </c>
      <c r="F61" s="350">
        <f>ROUND(F60/12,2)</f>
        <v>26234.67</v>
      </c>
      <c r="G61" s="361">
        <f>G60/12</f>
        <v>21312.166666666668</v>
      </c>
      <c r="H61" s="368">
        <f>ROUND(H60/12,2)</f>
        <v>26621.58</v>
      </c>
      <c r="I61" s="365">
        <f>I60/12</f>
        <v>21759.916666666668</v>
      </c>
      <c r="J61" s="350">
        <f>ROUND(J60/12,2)</f>
        <v>27180.92</v>
      </c>
      <c r="K61" s="361">
        <f>K60/12</f>
        <v>22069.916666666668</v>
      </c>
      <c r="L61" s="368">
        <f>ROUND(L60/12,2)</f>
        <v>27568.080000000002</v>
      </c>
      <c r="M61" s="373"/>
      <c r="N61" s="351"/>
      <c r="O61" s="353">
        <f>ROUND(O60/12,2)</f>
        <v>24232.71</v>
      </c>
    </row>
    <row r="62" spans="1:15" ht="15.75" thickBot="1">
      <c r="A62" s="1692"/>
      <c r="B62" s="357" t="s">
        <v>191</v>
      </c>
      <c r="C62" s="364">
        <f>C60/12</f>
        <v>20554.75</v>
      </c>
      <c r="D62" s="184">
        <f>ROUND(D61/160.33,2)</f>
        <v>160.13999999999999</v>
      </c>
      <c r="E62" s="367"/>
      <c r="F62" s="184">
        <f t="shared" ref="F62:O62" si="19">ROUND(F61/160.33,2)</f>
        <v>163.63</v>
      </c>
      <c r="G62" s="184">
        <f t="shared" si="19"/>
        <v>132.93</v>
      </c>
      <c r="H62" s="184">
        <f t="shared" si="19"/>
        <v>166.04</v>
      </c>
      <c r="I62" s="184">
        <f t="shared" si="19"/>
        <v>135.72</v>
      </c>
      <c r="J62" s="184">
        <f t="shared" si="19"/>
        <v>169.53</v>
      </c>
      <c r="K62" s="184">
        <f t="shared" si="19"/>
        <v>137.65</v>
      </c>
      <c r="L62" s="184">
        <f t="shared" si="19"/>
        <v>171.95</v>
      </c>
      <c r="M62" s="184">
        <f t="shared" si="19"/>
        <v>0</v>
      </c>
      <c r="N62" s="184">
        <f t="shared" si="19"/>
        <v>0</v>
      </c>
      <c r="O62" s="184">
        <f t="shared" si="19"/>
        <v>151.13999999999999</v>
      </c>
    </row>
    <row r="63" spans="1:15">
      <c r="A63" s="1691">
        <v>20</v>
      </c>
      <c r="B63" s="334" t="s">
        <v>93</v>
      </c>
      <c r="C63" s="186">
        <v>250053</v>
      </c>
      <c r="D63" s="179">
        <f>ROUND((C63*(1+'Løntabel gældende fra'!$D$7%)),0)</f>
        <v>312348</v>
      </c>
      <c r="E63" s="187">
        <v>255560</v>
      </c>
      <c r="F63" s="188">
        <f>ROUND((E63*(1+'Løntabel gældende fra'!$D$7%)),0)</f>
        <v>319227</v>
      </c>
      <c r="G63" s="186">
        <v>259374</v>
      </c>
      <c r="H63" s="179">
        <f>ROUND((G63*(1+'Løntabel gældende fra'!$D$7%)),0)</f>
        <v>323991</v>
      </c>
      <c r="I63" s="187">
        <v>264882</v>
      </c>
      <c r="J63" s="188">
        <f>ROUND((I63*(1+'Løntabel gældende fra'!$D$7%)),0)</f>
        <v>330871</v>
      </c>
      <c r="K63" s="186">
        <v>268694</v>
      </c>
      <c r="L63" s="179">
        <f>ROUND((K63*(1+'Løntabel gældende fra'!$D$7%)),0)</f>
        <v>335633</v>
      </c>
      <c r="M63" s="374"/>
      <c r="N63" s="352">
        <v>237129.61</v>
      </c>
      <c r="O63" s="193">
        <f>ROUND(N63*(1+'Løntabel gældende fra'!$D$7%),2)</f>
        <v>296204.76</v>
      </c>
    </row>
    <row r="64" spans="1:15">
      <c r="A64" s="1689"/>
      <c r="B64" s="356" t="s">
        <v>94</v>
      </c>
      <c r="C64" s="361"/>
      <c r="D64" s="368">
        <f>ROUND(D63/12,2)</f>
        <v>26029</v>
      </c>
      <c r="E64" s="365">
        <f>E63/12</f>
        <v>21296.666666666668</v>
      </c>
      <c r="F64" s="350">
        <f>ROUND(F63/12,2)</f>
        <v>26602.25</v>
      </c>
      <c r="G64" s="361">
        <f>G63/12</f>
        <v>21614.5</v>
      </c>
      <c r="H64" s="368">
        <f>ROUND(H63/12,2)</f>
        <v>26999.25</v>
      </c>
      <c r="I64" s="365">
        <f>I63/12</f>
        <v>22073.5</v>
      </c>
      <c r="J64" s="350">
        <f>ROUND(J63/12,2)</f>
        <v>27572.58</v>
      </c>
      <c r="K64" s="361">
        <f>K63/12</f>
        <v>22391.166666666668</v>
      </c>
      <c r="L64" s="368">
        <f>ROUND(L63/12,2)</f>
        <v>27969.42</v>
      </c>
      <c r="M64" s="373"/>
      <c r="N64" s="351"/>
      <c r="O64" s="353">
        <f>ROUND(O63/12,2)</f>
        <v>24683.73</v>
      </c>
    </row>
    <row r="65" spans="1:15" ht="15.75" thickBot="1">
      <c r="A65" s="1690"/>
      <c r="B65" s="336" t="s">
        <v>191</v>
      </c>
      <c r="C65" s="183">
        <f>C63/12</f>
        <v>20837.75</v>
      </c>
      <c r="D65" s="184">
        <f>ROUND(D64/160.33,2)</f>
        <v>162.35</v>
      </c>
      <c r="E65" s="366"/>
      <c r="F65" s="184">
        <f t="shared" ref="F65:O65" si="20">ROUND(F64/160.33,2)</f>
        <v>165.92</v>
      </c>
      <c r="G65" s="184">
        <f t="shared" si="20"/>
        <v>134.81</v>
      </c>
      <c r="H65" s="184">
        <f t="shared" si="20"/>
        <v>168.4</v>
      </c>
      <c r="I65" s="184">
        <f t="shared" si="20"/>
        <v>137.68</v>
      </c>
      <c r="J65" s="184">
        <f t="shared" si="20"/>
        <v>171.97</v>
      </c>
      <c r="K65" s="184">
        <f t="shared" si="20"/>
        <v>139.66</v>
      </c>
      <c r="L65" s="184">
        <f t="shared" si="20"/>
        <v>174.45</v>
      </c>
      <c r="M65" s="184">
        <f t="shared" si="20"/>
        <v>0</v>
      </c>
      <c r="N65" s="184">
        <f t="shared" si="20"/>
        <v>0</v>
      </c>
      <c r="O65" s="184">
        <f t="shared" si="20"/>
        <v>153.96</v>
      </c>
    </row>
    <row r="66" spans="1:15">
      <c r="A66" s="1688">
        <v>21</v>
      </c>
      <c r="B66" s="177" t="s">
        <v>93</v>
      </c>
      <c r="C66" s="178">
        <v>254192</v>
      </c>
      <c r="D66" s="182">
        <f>ROUND((C66*(1+'Løntabel gældende fra'!$D$7%)),0)</f>
        <v>317518</v>
      </c>
      <c r="E66" s="180">
        <v>259841</v>
      </c>
      <c r="F66" s="181">
        <f>ROUND((E66*(1+'Løntabel gældende fra'!$D$7%)),0)</f>
        <v>324574</v>
      </c>
      <c r="G66" s="178">
        <v>263752</v>
      </c>
      <c r="H66" s="182">
        <f>ROUND((G66*(1+'Løntabel gældende fra'!$D$7%)),0)</f>
        <v>329459</v>
      </c>
      <c r="I66" s="180">
        <v>269401</v>
      </c>
      <c r="J66" s="181">
        <f>ROUND((I66*(1+'Løntabel gældende fra'!$D$7%)),0)</f>
        <v>336516</v>
      </c>
      <c r="K66" s="178">
        <v>273312</v>
      </c>
      <c r="L66" s="182">
        <f>ROUND((K66*(1+'Løntabel gældende fra'!$D$7%)),0)</f>
        <v>341401</v>
      </c>
      <c r="M66" s="375"/>
      <c r="N66" s="354">
        <v>241583.32</v>
      </c>
      <c r="O66" s="355">
        <f>ROUND(N66*(1+'Løntabel gældende fra'!$D$7%),2)</f>
        <v>301768.01</v>
      </c>
    </row>
    <row r="67" spans="1:15">
      <c r="A67" s="1689"/>
      <c r="B67" s="356" t="s">
        <v>196</v>
      </c>
      <c r="C67" s="361"/>
      <c r="D67" s="368">
        <f>ROUND(D66/12,2)</f>
        <v>26459.83</v>
      </c>
      <c r="E67" s="365">
        <f>E66/12</f>
        <v>21653.416666666668</v>
      </c>
      <c r="F67" s="350">
        <f>ROUND(F66/12,2)</f>
        <v>27047.83</v>
      </c>
      <c r="G67" s="361">
        <f>G66/12</f>
        <v>21979.333333333332</v>
      </c>
      <c r="H67" s="368">
        <f>ROUND(H66/12,2)</f>
        <v>27454.92</v>
      </c>
      <c r="I67" s="365">
        <f>I66/12</f>
        <v>22450.083333333332</v>
      </c>
      <c r="J67" s="350">
        <f>ROUND(J66/12,2)</f>
        <v>28043</v>
      </c>
      <c r="K67" s="361">
        <f>K66/12</f>
        <v>22776</v>
      </c>
      <c r="L67" s="368">
        <f>ROUND(L66/12,2)</f>
        <v>28450.080000000002</v>
      </c>
      <c r="M67" s="373"/>
      <c r="N67" s="351"/>
      <c r="O67" s="353">
        <f>ROUND(O66/12,2)</f>
        <v>25147.33</v>
      </c>
    </row>
    <row r="68" spans="1:15" ht="15.75" thickBot="1">
      <c r="A68" s="1692"/>
      <c r="B68" s="357" t="s">
        <v>191</v>
      </c>
      <c r="C68" s="364">
        <f>C66/12</f>
        <v>21182.666666666668</v>
      </c>
      <c r="D68" s="184">
        <f>ROUND(D67/160.33,2)</f>
        <v>165.03</v>
      </c>
      <c r="E68" s="367"/>
      <c r="F68" s="184">
        <f t="shared" ref="F68:O68" si="21">ROUND(F67/160.33,2)</f>
        <v>168.7</v>
      </c>
      <c r="G68" s="184">
        <f t="shared" si="21"/>
        <v>137.09</v>
      </c>
      <c r="H68" s="184">
        <f t="shared" si="21"/>
        <v>171.24</v>
      </c>
      <c r="I68" s="184">
        <f t="shared" si="21"/>
        <v>140.02000000000001</v>
      </c>
      <c r="J68" s="184">
        <f t="shared" si="21"/>
        <v>174.91</v>
      </c>
      <c r="K68" s="184">
        <f t="shared" si="21"/>
        <v>142.06</v>
      </c>
      <c r="L68" s="184">
        <f t="shared" si="21"/>
        <v>177.45</v>
      </c>
      <c r="M68" s="184">
        <f t="shared" si="21"/>
        <v>0</v>
      </c>
      <c r="N68" s="184">
        <f t="shared" si="21"/>
        <v>0</v>
      </c>
      <c r="O68" s="184">
        <f t="shared" si="21"/>
        <v>156.85</v>
      </c>
    </row>
    <row r="69" spans="1:15">
      <c r="A69" s="1691">
        <v>22</v>
      </c>
      <c r="B69" s="190" t="s">
        <v>93</v>
      </c>
      <c r="C69" s="186">
        <v>258027</v>
      </c>
      <c r="D69" s="179">
        <f>ROUND((C69*(1+'Løntabel gældende fra'!$D$7%)),0)</f>
        <v>322308</v>
      </c>
      <c r="E69" s="187">
        <v>263676</v>
      </c>
      <c r="F69" s="188">
        <f>ROUND((E69*(1+'Løntabel gældende fra'!$D$7%)),0)</f>
        <v>329365</v>
      </c>
      <c r="G69" s="186">
        <v>267587</v>
      </c>
      <c r="H69" s="179">
        <f>ROUND((G69*(1+'Løntabel gældende fra'!$D$7%)),0)</f>
        <v>334250</v>
      </c>
      <c r="I69" s="187">
        <v>273236</v>
      </c>
      <c r="J69" s="188">
        <f>ROUND((I69*(1+'Løntabel gældende fra'!$D$7%)),0)</f>
        <v>341306</v>
      </c>
      <c r="K69" s="186">
        <v>277147</v>
      </c>
      <c r="L69" s="179">
        <f>ROUND((K69*(1+'Løntabel gældende fra'!$D$7%)),0)</f>
        <v>346192</v>
      </c>
      <c r="M69" s="374"/>
      <c r="N69" s="352">
        <v>246033.33</v>
      </c>
      <c r="O69" s="193">
        <f>ROUND(N69*(1+'Løntabel gældende fra'!$D$7%),2)</f>
        <v>307326.63</v>
      </c>
    </row>
    <row r="70" spans="1:15">
      <c r="A70" s="1689"/>
      <c r="B70" s="358" t="s">
        <v>196</v>
      </c>
      <c r="C70" s="361"/>
      <c r="D70" s="368">
        <f>ROUND(D69/12,2)</f>
        <v>26859</v>
      </c>
      <c r="E70" s="365">
        <f>E69/12</f>
        <v>21973</v>
      </c>
      <c r="F70" s="350">
        <f>ROUND(F69/12,2)</f>
        <v>27447.08</v>
      </c>
      <c r="G70" s="361">
        <f>G69/12</f>
        <v>22298.916666666668</v>
      </c>
      <c r="H70" s="368">
        <f>ROUND(H69/12,2)</f>
        <v>27854.17</v>
      </c>
      <c r="I70" s="365">
        <f>I69/12</f>
        <v>22769.666666666668</v>
      </c>
      <c r="J70" s="350">
        <f>ROUND(J69/12,2)</f>
        <v>28442.17</v>
      </c>
      <c r="K70" s="361">
        <f>K69/12</f>
        <v>23095.583333333332</v>
      </c>
      <c r="L70" s="368">
        <f>ROUND(L69/12,2)</f>
        <v>28849.33</v>
      </c>
      <c r="M70" s="373"/>
      <c r="N70" s="351"/>
      <c r="O70" s="353">
        <f>ROUND(O69/12,2)</f>
        <v>25610.55</v>
      </c>
    </row>
    <row r="71" spans="1:15" ht="15.75" thickBot="1">
      <c r="A71" s="1690"/>
      <c r="B71" s="359" t="s">
        <v>191</v>
      </c>
      <c r="C71" s="183">
        <v>262137</v>
      </c>
      <c r="D71" s="184">
        <f>ROUND(D70/160.33,2)</f>
        <v>167.52</v>
      </c>
      <c r="E71" s="366"/>
      <c r="F71" s="184">
        <f t="shared" ref="F71:O71" si="22">ROUND(F70/160.33,2)</f>
        <v>171.19</v>
      </c>
      <c r="G71" s="184">
        <f t="shared" si="22"/>
        <v>139.08000000000001</v>
      </c>
      <c r="H71" s="184">
        <f t="shared" si="22"/>
        <v>173.73</v>
      </c>
      <c r="I71" s="184">
        <f t="shared" si="22"/>
        <v>142.02000000000001</v>
      </c>
      <c r="J71" s="184">
        <f t="shared" si="22"/>
        <v>177.4</v>
      </c>
      <c r="K71" s="184">
        <f t="shared" si="22"/>
        <v>144.05000000000001</v>
      </c>
      <c r="L71" s="184">
        <f t="shared" si="22"/>
        <v>179.94</v>
      </c>
      <c r="M71" s="184">
        <f t="shared" si="22"/>
        <v>0</v>
      </c>
      <c r="N71" s="184">
        <f t="shared" si="22"/>
        <v>0</v>
      </c>
      <c r="O71" s="184">
        <f t="shared" si="22"/>
        <v>159.74</v>
      </c>
    </row>
    <row r="72" spans="1:15">
      <c r="A72" s="1688">
        <v>23</v>
      </c>
      <c r="B72" s="189" t="s">
        <v>93</v>
      </c>
      <c r="C72" s="178">
        <v>262137</v>
      </c>
      <c r="D72" s="182">
        <f>ROUND((C72*(1+'Løntabel gældende fra'!$D$7%)),0)</f>
        <v>327442</v>
      </c>
      <c r="E72" s="180">
        <v>267629</v>
      </c>
      <c r="F72" s="181">
        <f>ROUND((E72*(1+'Løntabel gældende fra'!$D$7%)),0)</f>
        <v>334302</v>
      </c>
      <c r="G72" s="178">
        <v>271434</v>
      </c>
      <c r="H72" s="182">
        <f>ROUND((G72*(1+'Løntabel gældende fra'!$D$7%)),0)</f>
        <v>339055</v>
      </c>
      <c r="I72" s="180">
        <v>276928</v>
      </c>
      <c r="J72" s="181">
        <f>ROUND((I72*(1+'Løntabel gældende fra'!$D$7%)),0)</f>
        <v>345918</v>
      </c>
      <c r="K72" s="178">
        <v>280730</v>
      </c>
      <c r="L72" s="182">
        <f>ROUND((K72*(1+'Løntabel gældende fra'!$D$7%)),0)</f>
        <v>350667</v>
      </c>
      <c r="M72" s="375"/>
      <c r="N72" s="354">
        <v>250472.55</v>
      </c>
      <c r="O72" s="355">
        <f>ROUND(N72*(1+'Løntabel gældende fra'!$D$7%),2)</f>
        <v>312871.77</v>
      </c>
    </row>
    <row r="73" spans="1:15">
      <c r="A73" s="1689"/>
      <c r="B73" s="358" t="s">
        <v>196</v>
      </c>
      <c r="C73" s="361"/>
      <c r="D73" s="368">
        <f>ROUND(D72/12,2)</f>
        <v>27286.83</v>
      </c>
      <c r="E73" s="365">
        <f>E72/12</f>
        <v>22302.416666666668</v>
      </c>
      <c r="F73" s="350">
        <f>ROUND(F72/12,2)</f>
        <v>27858.5</v>
      </c>
      <c r="G73" s="361">
        <f>G72/12</f>
        <v>22619.5</v>
      </c>
      <c r="H73" s="368">
        <f>ROUND(H72/12,2)</f>
        <v>28254.58</v>
      </c>
      <c r="I73" s="365">
        <f>I72/12</f>
        <v>23077.333333333332</v>
      </c>
      <c r="J73" s="350">
        <f>ROUND(J72/12,2)</f>
        <v>28826.5</v>
      </c>
      <c r="K73" s="361">
        <f>K72/12</f>
        <v>23394.166666666668</v>
      </c>
      <c r="L73" s="368">
        <f>ROUND(L72/12,2)</f>
        <v>29222.25</v>
      </c>
      <c r="M73" s="373"/>
      <c r="N73" s="351"/>
      <c r="O73" s="353">
        <f>ROUND(O72/12,2)</f>
        <v>26072.65</v>
      </c>
    </row>
    <row r="74" spans="1:15" ht="15.75" thickBot="1">
      <c r="A74" s="1692"/>
      <c r="B74" s="360" t="s">
        <v>191</v>
      </c>
      <c r="C74" s="364">
        <f>C72/12</f>
        <v>21844.75</v>
      </c>
      <c r="D74" s="184">
        <f>ROUND(D73/160.33,2)</f>
        <v>170.19</v>
      </c>
      <c r="E74" s="367"/>
      <c r="F74" s="184">
        <f t="shared" ref="F74:O74" si="23">ROUND(F73/160.33,2)</f>
        <v>173.76</v>
      </c>
      <c r="G74" s="184">
        <f t="shared" si="23"/>
        <v>141.08000000000001</v>
      </c>
      <c r="H74" s="184">
        <f t="shared" si="23"/>
        <v>176.23</v>
      </c>
      <c r="I74" s="184">
        <f t="shared" si="23"/>
        <v>143.94</v>
      </c>
      <c r="J74" s="184">
        <f t="shared" si="23"/>
        <v>179.79</v>
      </c>
      <c r="K74" s="184">
        <f t="shared" si="23"/>
        <v>145.91</v>
      </c>
      <c r="L74" s="184">
        <f t="shared" si="23"/>
        <v>182.26</v>
      </c>
      <c r="M74" s="184">
        <f t="shared" si="23"/>
        <v>0</v>
      </c>
      <c r="N74" s="184">
        <f t="shared" si="23"/>
        <v>0</v>
      </c>
      <c r="O74" s="184">
        <f t="shared" si="23"/>
        <v>162.62</v>
      </c>
    </row>
    <row r="75" spans="1:15">
      <c r="A75" s="1691">
        <v>24</v>
      </c>
      <c r="B75" s="190" t="s">
        <v>93</v>
      </c>
      <c r="C75" s="186">
        <v>266372</v>
      </c>
      <c r="D75" s="179">
        <f>ROUND((C75*(1+'Løntabel gældende fra'!$D$7%)),0)</f>
        <v>332732</v>
      </c>
      <c r="E75" s="187">
        <v>271710</v>
      </c>
      <c r="F75" s="188">
        <f>ROUND((E75*(1+'Løntabel gældende fra'!$D$7%)),0)</f>
        <v>339400</v>
      </c>
      <c r="G75" s="186">
        <v>275406</v>
      </c>
      <c r="H75" s="179">
        <f>ROUND((G75*(1+'Løntabel gældende fra'!$D$7%)),0)</f>
        <v>344017</v>
      </c>
      <c r="I75" s="187">
        <v>280745</v>
      </c>
      <c r="J75" s="188">
        <f>ROUND((I75*(1+'Løntabel gældende fra'!$D$7%)),0)</f>
        <v>350686</v>
      </c>
      <c r="K75" s="186">
        <v>284441</v>
      </c>
      <c r="L75" s="179">
        <f>ROUND((K75*(1+'Løntabel gældende fra'!$D$7%)),0)</f>
        <v>355303</v>
      </c>
      <c r="M75" s="374"/>
      <c r="N75" s="352">
        <v>255037.97</v>
      </c>
      <c r="O75" s="193">
        <f>ROUND(N75*(1+'Løntabel gældende fra'!$D$7%),2)</f>
        <v>318574.56</v>
      </c>
    </row>
    <row r="76" spans="1:15">
      <c r="A76" s="1689"/>
      <c r="B76" s="358" t="s">
        <v>196</v>
      </c>
      <c r="C76" s="361"/>
      <c r="D76" s="368">
        <f>ROUND(D75/12,2)</f>
        <v>27727.67</v>
      </c>
      <c r="E76" s="365">
        <f>E75/12</f>
        <v>22642.5</v>
      </c>
      <c r="F76" s="350">
        <f>ROUND(F75/12,2)</f>
        <v>28283.33</v>
      </c>
      <c r="G76" s="361">
        <f>G75/12</f>
        <v>22950.5</v>
      </c>
      <c r="H76" s="368">
        <f>ROUND(H75/12,2)</f>
        <v>28668.080000000002</v>
      </c>
      <c r="I76" s="365">
        <f>I75/12</f>
        <v>23395.416666666668</v>
      </c>
      <c r="J76" s="350">
        <f>ROUND(J75/12,2)</f>
        <v>29223.83</v>
      </c>
      <c r="K76" s="361">
        <f>K75/12</f>
        <v>23703.416666666668</v>
      </c>
      <c r="L76" s="368">
        <f>ROUND(L75/12,2)</f>
        <v>29608.58</v>
      </c>
      <c r="M76" s="373"/>
      <c r="N76" s="351"/>
      <c r="O76" s="353">
        <f>ROUND(O75/12,2)</f>
        <v>26547.88</v>
      </c>
    </row>
    <row r="77" spans="1:15" ht="15.75" thickBot="1">
      <c r="A77" s="1690"/>
      <c r="B77" s="359" t="s">
        <v>191</v>
      </c>
      <c r="C77" s="183">
        <f>C75/12</f>
        <v>22197.666666666668</v>
      </c>
      <c r="D77" s="184">
        <f>ROUND(D76/160.33,2)</f>
        <v>172.94</v>
      </c>
      <c r="E77" s="366"/>
      <c r="F77" s="184">
        <f t="shared" ref="F77:O77" si="24">ROUND(F76/160.33,2)</f>
        <v>176.41</v>
      </c>
      <c r="G77" s="184">
        <f t="shared" si="24"/>
        <v>143.15</v>
      </c>
      <c r="H77" s="184">
        <f t="shared" si="24"/>
        <v>178.81</v>
      </c>
      <c r="I77" s="184">
        <f t="shared" si="24"/>
        <v>145.91999999999999</v>
      </c>
      <c r="J77" s="184">
        <f t="shared" si="24"/>
        <v>182.27</v>
      </c>
      <c r="K77" s="184">
        <f t="shared" si="24"/>
        <v>147.84</v>
      </c>
      <c r="L77" s="184">
        <f t="shared" si="24"/>
        <v>184.67</v>
      </c>
      <c r="M77" s="184">
        <f t="shared" si="24"/>
        <v>0</v>
      </c>
      <c r="N77" s="184">
        <f t="shared" si="24"/>
        <v>0</v>
      </c>
      <c r="O77" s="184">
        <f t="shared" si="24"/>
        <v>165.58</v>
      </c>
    </row>
    <row r="78" spans="1:15">
      <c r="A78" s="1688">
        <v>25</v>
      </c>
      <c r="B78" s="189" t="s">
        <v>93</v>
      </c>
      <c r="C78" s="178">
        <v>270701</v>
      </c>
      <c r="D78" s="182">
        <f>ROUND((C78*(1+'Løntabel gældende fra'!$D$7%)),0)</f>
        <v>338140</v>
      </c>
      <c r="E78" s="180">
        <v>275873</v>
      </c>
      <c r="F78" s="181">
        <f>ROUND((E78*(1+'Løntabel gældende fra'!$D$7%)),0)</f>
        <v>344600</v>
      </c>
      <c r="G78" s="178">
        <v>279454</v>
      </c>
      <c r="H78" s="182">
        <f>ROUND((G78*(1+'Løntabel gældende fra'!$D$7%)),0)</f>
        <v>349073</v>
      </c>
      <c r="I78" s="180">
        <v>284626</v>
      </c>
      <c r="J78" s="181">
        <f>ROUND((I78*(1+'Løntabel gældende fra'!$D$7%)),0)</f>
        <v>355534</v>
      </c>
      <c r="K78" s="178">
        <v>288206</v>
      </c>
      <c r="L78" s="182">
        <f>ROUND((K78*(1+'Løntabel gældende fra'!$D$7%)),0)</f>
        <v>360006</v>
      </c>
      <c r="M78" s="375"/>
      <c r="N78" s="354">
        <v>259721.7</v>
      </c>
      <c r="O78" s="355">
        <f>ROUND(N78*(1+'Løntabel gældende fra'!$D$7%),2)</f>
        <v>324425.13</v>
      </c>
    </row>
    <row r="79" spans="1:15">
      <c r="A79" s="1689"/>
      <c r="B79" s="358" t="s">
        <v>196</v>
      </c>
      <c r="C79" s="361"/>
      <c r="D79" s="368">
        <f>ROUND(D78/12,2)</f>
        <v>28178.33</v>
      </c>
      <c r="E79" s="365">
        <f>E78/12</f>
        <v>22989.416666666668</v>
      </c>
      <c r="F79" s="350">
        <f>ROUND(F78/12,2)</f>
        <v>28716.67</v>
      </c>
      <c r="G79" s="361">
        <f>G78/12</f>
        <v>23287.833333333332</v>
      </c>
      <c r="H79" s="368">
        <f>ROUND(H78/12,2)</f>
        <v>29089.42</v>
      </c>
      <c r="I79" s="365">
        <f>I78/12</f>
        <v>23718.833333333332</v>
      </c>
      <c r="J79" s="350">
        <f>ROUND(J78/12,2)</f>
        <v>29627.83</v>
      </c>
      <c r="K79" s="361">
        <f>K78/12</f>
        <v>24017.166666666668</v>
      </c>
      <c r="L79" s="368">
        <f>ROUND(L78/12,2)</f>
        <v>30000.5</v>
      </c>
      <c r="M79" s="373"/>
      <c r="N79" s="351"/>
      <c r="O79" s="353">
        <f>ROUND(O78/12,2)</f>
        <v>27035.43</v>
      </c>
    </row>
    <row r="80" spans="1:15" ht="15.75" thickBot="1">
      <c r="A80" s="1692"/>
      <c r="B80" s="360" t="s">
        <v>191</v>
      </c>
      <c r="C80" s="364">
        <f>C78/12</f>
        <v>22558.416666666668</v>
      </c>
      <c r="D80" s="184">
        <f>ROUND(D79/160.33,2)</f>
        <v>175.75</v>
      </c>
      <c r="E80" s="367"/>
      <c r="F80" s="184">
        <f t="shared" ref="F80:O80" si="25">ROUND(F79/160.33,2)</f>
        <v>179.11</v>
      </c>
      <c r="G80" s="184">
        <f t="shared" si="25"/>
        <v>145.25</v>
      </c>
      <c r="H80" s="184">
        <f t="shared" si="25"/>
        <v>181.43</v>
      </c>
      <c r="I80" s="184">
        <f t="shared" si="25"/>
        <v>147.94</v>
      </c>
      <c r="J80" s="184">
        <f t="shared" si="25"/>
        <v>184.79</v>
      </c>
      <c r="K80" s="184">
        <f t="shared" si="25"/>
        <v>149.80000000000001</v>
      </c>
      <c r="L80" s="184">
        <f t="shared" si="25"/>
        <v>187.12</v>
      </c>
      <c r="M80" s="184">
        <f t="shared" si="25"/>
        <v>0</v>
      </c>
      <c r="N80" s="184">
        <f t="shared" si="25"/>
        <v>0</v>
      </c>
      <c r="O80" s="184">
        <f t="shared" si="25"/>
        <v>168.62</v>
      </c>
    </row>
    <row r="81" spans="1:15">
      <c r="A81" s="1691">
        <v>26</v>
      </c>
      <c r="B81" s="190" t="s">
        <v>93</v>
      </c>
      <c r="C81" s="186">
        <v>275131</v>
      </c>
      <c r="D81" s="179">
        <f>ROUND((C81*(1+'Løntabel gældende fra'!$D$7%)),0)</f>
        <v>343673</v>
      </c>
      <c r="E81" s="187">
        <v>280123</v>
      </c>
      <c r="F81" s="188">
        <f>ROUND((E81*(1+'Løntabel gældende fra'!$D$7%)),0)</f>
        <v>349909</v>
      </c>
      <c r="G81" s="186">
        <v>283580</v>
      </c>
      <c r="H81" s="179">
        <f>ROUND((G81*(1+'Løntabel gældende fra'!$D$7%)),0)</f>
        <v>354227</v>
      </c>
      <c r="I81" s="187">
        <v>288573</v>
      </c>
      <c r="J81" s="188">
        <f>ROUND((I81*(1+'Løntabel gældende fra'!$D$7%)),0)</f>
        <v>360464</v>
      </c>
      <c r="K81" s="186">
        <v>292029</v>
      </c>
      <c r="L81" s="179">
        <f>ROUND((K81*(1+'Løntabel gældende fra'!$D$7%)),0)</f>
        <v>364781</v>
      </c>
      <c r="M81" s="374"/>
      <c r="N81" s="352">
        <v>264528.59000000003</v>
      </c>
      <c r="O81" s="193">
        <f>ROUND(N81*(1+'Løntabel gældende fra'!$D$7%),2)</f>
        <v>330429.53999999998</v>
      </c>
    </row>
    <row r="82" spans="1:15">
      <c r="A82" s="1689"/>
      <c r="B82" s="358" t="s">
        <v>196</v>
      </c>
      <c r="C82" s="361"/>
      <c r="D82" s="368">
        <f>ROUND(D81/12,2)</f>
        <v>28639.42</v>
      </c>
      <c r="E82" s="365">
        <f>E81/12</f>
        <v>23343.583333333332</v>
      </c>
      <c r="F82" s="350">
        <f>ROUND(F81/12,2)</f>
        <v>29159.08</v>
      </c>
      <c r="G82" s="361">
        <f>G81/12</f>
        <v>23631.666666666668</v>
      </c>
      <c r="H82" s="368">
        <f>ROUND(H81/12,2)</f>
        <v>29518.92</v>
      </c>
      <c r="I82" s="365">
        <f>I81/12</f>
        <v>24047.75</v>
      </c>
      <c r="J82" s="350">
        <f>ROUND(J81/12,2)</f>
        <v>30038.67</v>
      </c>
      <c r="K82" s="361">
        <f>K81/12</f>
        <v>24335.75</v>
      </c>
      <c r="L82" s="368">
        <f>ROUND(L81/12,2)</f>
        <v>30398.42</v>
      </c>
      <c r="M82" s="373"/>
      <c r="N82" s="351"/>
      <c r="O82" s="353">
        <f>ROUND(O81/12,2)</f>
        <v>27535.8</v>
      </c>
    </row>
    <row r="83" spans="1:15" ht="15.75" thickBot="1">
      <c r="A83" s="1690"/>
      <c r="B83" s="359" t="s">
        <v>191</v>
      </c>
      <c r="C83" s="183">
        <f>C81/12</f>
        <v>22927.583333333332</v>
      </c>
      <c r="D83" s="184">
        <f>ROUND(D82/160.33,2)</f>
        <v>178.63</v>
      </c>
      <c r="E83" s="366"/>
      <c r="F83" s="184">
        <f t="shared" ref="F83:O83" si="26">ROUND(F82/160.33,2)</f>
        <v>181.87</v>
      </c>
      <c r="G83" s="184">
        <f t="shared" si="26"/>
        <v>147.38999999999999</v>
      </c>
      <c r="H83" s="184">
        <f t="shared" si="26"/>
        <v>184.11</v>
      </c>
      <c r="I83" s="184">
        <f t="shared" si="26"/>
        <v>149.99</v>
      </c>
      <c r="J83" s="184">
        <f t="shared" si="26"/>
        <v>187.36</v>
      </c>
      <c r="K83" s="184">
        <f t="shared" si="26"/>
        <v>151.79</v>
      </c>
      <c r="L83" s="184">
        <f t="shared" si="26"/>
        <v>189.6</v>
      </c>
      <c r="M83" s="184">
        <f t="shared" si="26"/>
        <v>0</v>
      </c>
      <c r="N83" s="184">
        <f t="shared" si="26"/>
        <v>0</v>
      </c>
      <c r="O83" s="184">
        <f t="shared" si="26"/>
        <v>171.74</v>
      </c>
    </row>
    <row r="84" spans="1:15">
      <c r="A84" s="1688">
        <v>27</v>
      </c>
      <c r="B84" s="189" t="s">
        <v>93</v>
      </c>
      <c r="C84" s="178">
        <v>279656</v>
      </c>
      <c r="D84" s="182">
        <f>ROUND((C84*(1+'Løntabel gældende fra'!$D$7%)),0)</f>
        <v>349326</v>
      </c>
      <c r="E84" s="180">
        <v>284456</v>
      </c>
      <c r="F84" s="181">
        <f>ROUND((E84*(1+'Løntabel gældende fra'!$D$7%)),0)</f>
        <v>355321</v>
      </c>
      <c r="G84" s="178">
        <v>287782</v>
      </c>
      <c r="H84" s="182">
        <f>ROUND((G84*(1+'Løntabel gældende fra'!$D$7%)),0)</f>
        <v>359476</v>
      </c>
      <c r="I84" s="180">
        <v>292583</v>
      </c>
      <c r="J84" s="181">
        <f>ROUND((I84*(1+'Løntabel gældende fra'!$D$7%)),0)</f>
        <v>365473</v>
      </c>
      <c r="K84" s="178">
        <v>295908</v>
      </c>
      <c r="L84" s="182">
        <f>ROUND((K84*(1+'Løntabel gældende fra'!$D$7%)),0)</f>
        <v>369626</v>
      </c>
      <c r="M84" s="375"/>
      <c r="N84" s="354">
        <v>269459.90000000002</v>
      </c>
      <c r="O84" s="355">
        <f>ROUND(N84*(1+'Løntabel gældende fra'!$D$7%),2)</f>
        <v>336589.37</v>
      </c>
    </row>
    <row r="85" spans="1:15">
      <c r="A85" s="1689"/>
      <c r="B85" s="358" t="s">
        <v>196</v>
      </c>
      <c r="C85" s="361"/>
      <c r="D85" s="368">
        <f>ROUND(D84/12,2)</f>
        <v>29110.5</v>
      </c>
      <c r="E85" s="365">
        <f>E84/12</f>
        <v>23704.666666666668</v>
      </c>
      <c r="F85" s="350">
        <f>ROUND(F84/12,2)</f>
        <v>29610.080000000002</v>
      </c>
      <c r="G85" s="361">
        <f>G84/12</f>
        <v>23981.833333333332</v>
      </c>
      <c r="H85" s="368">
        <f>ROUND(H84/12,2)</f>
        <v>29956.33</v>
      </c>
      <c r="I85" s="365">
        <f>I84/12</f>
        <v>24381.916666666668</v>
      </c>
      <c r="J85" s="350">
        <f>ROUND(J84/12,2)</f>
        <v>30456.080000000002</v>
      </c>
      <c r="K85" s="361">
        <f>K84/12</f>
        <v>24659</v>
      </c>
      <c r="L85" s="368">
        <f>ROUND(L84/12,2)</f>
        <v>30802.17</v>
      </c>
      <c r="M85" s="373"/>
      <c r="N85" s="351"/>
      <c r="O85" s="353">
        <f>ROUND(O84/12,2)</f>
        <v>28049.11</v>
      </c>
    </row>
    <row r="86" spans="1:15" ht="15.75" thickBot="1">
      <c r="A86" s="1692"/>
      <c r="B86" s="360" t="s">
        <v>191</v>
      </c>
      <c r="C86" s="364">
        <f>C84/12</f>
        <v>23304.666666666668</v>
      </c>
      <c r="D86" s="184">
        <f>ROUND(D85/160.33,2)</f>
        <v>181.57</v>
      </c>
      <c r="E86" s="367"/>
      <c r="F86" s="184">
        <f t="shared" ref="F86:O86" si="27">ROUND(F85/160.33,2)</f>
        <v>184.68</v>
      </c>
      <c r="G86" s="184">
        <f t="shared" si="27"/>
        <v>149.58000000000001</v>
      </c>
      <c r="H86" s="184">
        <f t="shared" si="27"/>
        <v>186.84</v>
      </c>
      <c r="I86" s="184">
        <f t="shared" si="27"/>
        <v>152.07</v>
      </c>
      <c r="J86" s="184">
        <f t="shared" si="27"/>
        <v>189.96</v>
      </c>
      <c r="K86" s="184">
        <f t="shared" si="27"/>
        <v>153.80000000000001</v>
      </c>
      <c r="L86" s="184">
        <f t="shared" si="27"/>
        <v>192.12</v>
      </c>
      <c r="M86" s="184">
        <f t="shared" si="27"/>
        <v>0</v>
      </c>
      <c r="N86" s="184">
        <f t="shared" si="27"/>
        <v>0</v>
      </c>
      <c r="O86" s="184">
        <f t="shared" si="27"/>
        <v>174.95</v>
      </c>
    </row>
    <row r="87" spans="1:15">
      <c r="A87" s="1691">
        <v>28</v>
      </c>
      <c r="B87" s="190" t="s">
        <v>93</v>
      </c>
      <c r="C87" s="186">
        <v>284283</v>
      </c>
      <c r="D87" s="179">
        <f>ROUND((C87*(1+'Løntabel gældende fra'!$D$7%)),0)</f>
        <v>355105</v>
      </c>
      <c r="E87" s="187">
        <v>288881</v>
      </c>
      <c r="F87" s="188">
        <f>ROUND((E87*(1+'Løntabel gældende fra'!$D$7%)),0)</f>
        <v>360849</v>
      </c>
      <c r="G87" s="186">
        <v>292064</v>
      </c>
      <c r="H87" s="179">
        <f>ROUND((G87*(1+'Løntabel gældende fra'!$D$7%)),0)</f>
        <v>364825</v>
      </c>
      <c r="I87" s="187">
        <v>296661</v>
      </c>
      <c r="J87" s="188">
        <f>ROUND((I87*(1+'Løntabel gældende fra'!$D$7%)),0)</f>
        <v>370567</v>
      </c>
      <c r="K87" s="186">
        <v>299845</v>
      </c>
      <c r="L87" s="179">
        <f>ROUND((K87*(1+'Løntabel gældende fra'!$D$7%)),0)</f>
        <v>374544</v>
      </c>
      <c r="M87" s="374"/>
      <c r="N87" s="352">
        <v>274522.23</v>
      </c>
      <c r="O87" s="193">
        <f>ROUND(N87*(1+'Løntabel gældende fra'!$D$7%),2)</f>
        <v>342912.86</v>
      </c>
    </row>
    <row r="88" spans="1:15">
      <c r="A88" s="1689"/>
      <c r="B88" s="358" t="s">
        <v>196</v>
      </c>
      <c r="C88" s="361"/>
      <c r="D88" s="368">
        <f>ROUND(D87/12,2)</f>
        <v>29592.080000000002</v>
      </c>
      <c r="E88" s="365">
        <f>E87/12</f>
        <v>24073.416666666668</v>
      </c>
      <c r="F88" s="350">
        <f>ROUND(F87/12,2)</f>
        <v>30070.75</v>
      </c>
      <c r="G88" s="361">
        <f>G87/12</f>
        <v>24338.666666666668</v>
      </c>
      <c r="H88" s="368">
        <f>ROUND(H87/12,2)</f>
        <v>30402.080000000002</v>
      </c>
      <c r="I88" s="365">
        <f>I87/12</f>
        <v>24721.75</v>
      </c>
      <c r="J88" s="350">
        <f>ROUND(J87/12,2)</f>
        <v>30880.58</v>
      </c>
      <c r="K88" s="361">
        <f>K87/12</f>
        <v>24987.083333333332</v>
      </c>
      <c r="L88" s="368">
        <f>ROUND(L87/12,2)</f>
        <v>31212</v>
      </c>
      <c r="M88" s="373"/>
      <c r="N88" s="351"/>
      <c r="O88" s="353">
        <f>ROUND(O87/12,2)</f>
        <v>28576.07</v>
      </c>
    </row>
    <row r="89" spans="1:15" ht="15.75" thickBot="1">
      <c r="A89" s="1690"/>
      <c r="B89" s="359" t="s">
        <v>191</v>
      </c>
      <c r="C89" s="183">
        <f>C87/12</f>
        <v>23690.25</v>
      </c>
      <c r="D89" s="184">
        <f>ROUND(D88/160.33,2)</f>
        <v>184.57</v>
      </c>
      <c r="E89" s="184">
        <f t="shared" ref="E89:O89" si="28">ROUND(E88/160.33,2)</f>
        <v>150.15</v>
      </c>
      <c r="F89" s="184">
        <f t="shared" si="28"/>
        <v>187.56</v>
      </c>
      <c r="G89" s="184">
        <f t="shared" si="28"/>
        <v>151.80000000000001</v>
      </c>
      <c r="H89" s="184">
        <f t="shared" si="28"/>
        <v>189.62</v>
      </c>
      <c r="I89" s="184">
        <f t="shared" si="28"/>
        <v>154.19</v>
      </c>
      <c r="J89" s="184">
        <f t="shared" si="28"/>
        <v>192.61</v>
      </c>
      <c r="K89" s="184">
        <f t="shared" si="28"/>
        <v>155.85</v>
      </c>
      <c r="L89" s="184">
        <f t="shared" si="28"/>
        <v>194.67</v>
      </c>
      <c r="M89" s="184">
        <f t="shared" si="28"/>
        <v>0</v>
      </c>
      <c r="N89" s="184">
        <f t="shared" si="28"/>
        <v>0</v>
      </c>
      <c r="O89" s="184">
        <f t="shared" si="28"/>
        <v>178.23</v>
      </c>
    </row>
    <row r="90" spans="1:15">
      <c r="A90" s="1688">
        <v>29</v>
      </c>
      <c r="B90" s="189" t="s">
        <v>93</v>
      </c>
      <c r="C90" s="178">
        <v>289014</v>
      </c>
      <c r="D90" s="182">
        <f>ROUND((C90*(1+'Løntabel gældende fra'!$D$7%)),0)</f>
        <v>361015</v>
      </c>
      <c r="E90" s="180">
        <v>293394</v>
      </c>
      <c r="F90" s="181">
        <f>ROUND((E90*(1+'Løntabel gældende fra'!$D$7%)),0)</f>
        <v>366486</v>
      </c>
      <c r="G90" s="178">
        <v>296427</v>
      </c>
      <c r="H90" s="182">
        <f>ROUND((G90*(1+'Løntabel gældende fra'!$D$7%)),0)</f>
        <v>370275</v>
      </c>
      <c r="I90" s="180">
        <v>300807</v>
      </c>
      <c r="J90" s="181">
        <f>ROUND((I90*(1+'Løntabel gældende fra'!$D$7%)),0)</f>
        <v>375746</v>
      </c>
      <c r="K90" s="178">
        <v>303839</v>
      </c>
      <c r="L90" s="182">
        <f>ROUND((K90*(1+'Løntabel gældende fra'!$D$7%)),0)</f>
        <v>379533</v>
      </c>
      <c r="M90" s="375"/>
      <c r="N90" s="354">
        <v>279714.99</v>
      </c>
      <c r="O90" s="355">
        <f>ROUND(N90*(1+'Løntabel gældende fra'!$D$7%),2)</f>
        <v>349399.27</v>
      </c>
    </row>
    <row r="91" spans="1:15">
      <c r="A91" s="1689"/>
      <c r="B91" s="358" t="s">
        <v>196</v>
      </c>
      <c r="C91" s="361"/>
      <c r="D91" s="368">
        <f>ROUND(D90/12,2)</f>
        <v>30084.58</v>
      </c>
      <c r="E91" s="365">
        <f>E90/12</f>
        <v>24449.5</v>
      </c>
      <c r="F91" s="350">
        <f>ROUND(F90/12,2)</f>
        <v>30540.5</v>
      </c>
      <c r="G91" s="361">
        <f>G90/12</f>
        <v>24702.25</v>
      </c>
      <c r="H91" s="368">
        <f>ROUND(H90/12,2)</f>
        <v>30856.25</v>
      </c>
      <c r="I91" s="365">
        <f>I90/12</f>
        <v>25067.25</v>
      </c>
      <c r="J91" s="350">
        <f>ROUND(J90/12,2)</f>
        <v>31312.17</v>
      </c>
      <c r="K91" s="361">
        <f>K90/12</f>
        <v>25319.916666666668</v>
      </c>
      <c r="L91" s="368">
        <f>ROUND(L90/12,2)</f>
        <v>31627.75</v>
      </c>
      <c r="M91" s="373"/>
      <c r="N91" s="351"/>
      <c r="O91" s="353">
        <f>ROUND(O90/12,2)</f>
        <v>29116.61</v>
      </c>
    </row>
    <row r="92" spans="1:15" ht="15.75" thickBot="1">
      <c r="A92" s="1692"/>
      <c r="B92" s="360" t="s">
        <v>191</v>
      </c>
      <c r="C92" s="364">
        <f>C90/12</f>
        <v>24084.5</v>
      </c>
      <c r="D92" s="184">
        <f>ROUND(D91/160.33,2)</f>
        <v>187.64</v>
      </c>
      <c r="E92" s="367"/>
      <c r="F92" s="184">
        <f t="shared" ref="F92:O92" si="29">ROUND(F91/160.33,2)</f>
        <v>190.49</v>
      </c>
      <c r="G92" s="184">
        <f t="shared" si="29"/>
        <v>154.07</v>
      </c>
      <c r="H92" s="184">
        <f t="shared" si="29"/>
        <v>192.45</v>
      </c>
      <c r="I92" s="184">
        <f t="shared" si="29"/>
        <v>156.35</v>
      </c>
      <c r="J92" s="184">
        <f t="shared" si="29"/>
        <v>195.3</v>
      </c>
      <c r="K92" s="184">
        <f t="shared" si="29"/>
        <v>157.91999999999999</v>
      </c>
      <c r="L92" s="184">
        <f t="shared" si="29"/>
        <v>197.27</v>
      </c>
      <c r="M92" s="184">
        <f t="shared" si="29"/>
        <v>0</v>
      </c>
      <c r="N92" s="184">
        <f t="shared" si="29"/>
        <v>0</v>
      </c>
      <c r="O92" s="184">
        <f t="shared" si="29"/>
        <v>181.6</v>
      </c>
    </row>
    <row r="93" spans="1:15">
      <c r="A93" s="1691">
        <v>30</v>
      </c>
      <c r="B93" s="190" t="s">
        <v>93</v>
      </c>
      <c r="C93" s="186">
        <v>293853</v>
      </c>
      <c r="D93" s="179">
        <f>ROUND((C93*(1+'Løntabel gældende fra'!$D$7%)),0)</f>
        <v>367059</v>
      </c>
      <c r="E93" s="187">
        <v>298001</v>
      </c>
      <c r="F93" s="188">
        <f>ROUND((E93*(1+'Løntabel gældende fra'!$D$7%)),0)</f>
        <v>372241</v>
      </c>
      <c r="G93" s="186">
        <v>300872</v>
      </c>
      <c r="H93" s="179">
        <f>ROUND((G93*(1+'Løntabel gældende fra'!$D$7%)),0)</f>
        <v>375827</v>
      </c>
      <c r="I93" s="187">
        <v>305018</v>
      </c>
      <c r="J93" s="188">
        <f>ROUND((I93*(1+'Løntabel gældende fra'!$D$7%)),0)</f>
        <v>381006</v>
      </c>
      <c r="K93" s="186">
        <v>307890</v>
      </c>
      <c r="L93" s="179">
        <f>ROUND((K93*(1+'Løntabel gældende fra'!$D$7%)),0)</f>
        <v>384593</v>
      </c>
      <c r="M93" s="374"/>
      <c r="N93" s="352">
        <v>285044.74</v>
      </c>
      <c r="O93" s="193">
        <f>ROUND(N93*(1+'Løntabel gældende fra'!$D$7%),2)</f>
        <v>356056.8</v>
      </c>
    </row>
    <row r="94" spans="1:15">
      <c r="A94" s="1689"/>
      <c r="B94" s="358" t="s">
        <v>94</v>
      </c>
      <c r="C94" s="361"/>
      <c r="D94" s="368">
        <f>ROUND(D93/12,2)</f>
        <v>30588.25</v>
      </c>
      <c r="E94" s="365">
        <f>E93/12</f>
        <v>24833.416666666668</v>
      </c>
      <c r="F94" s="350">
        <f>ROUND(F93/12,2)</f>
        <v>31020.080000000002</v>
      </c>
      <c r="G94" s="361">
        <f>G93/12</f>
        <v>25072.666666666668</v>
      </c>
      <c r="H94" s="368">
        <f>ROUND(H93/12,2)</f>
        <v>31318.92</v>
      </c>
      <c r="I94" s="365">
        <f>I93/12</f>
        <v>25418.166666666668</v>
      </c>
      <c r="J94" s="350">
        <f>ROUND(J93/12,2)</f>
        <v>31750.5</v>
      </c>
      <c r="K94" s="361">
        <f>K93/12</f>
        <v>25657.5</v>
      </c>
      <c r="L94" s="368">
        <f>ROUND(L93/12,2)</f>
        <v>32049.42</v>
      </c>
      <c r="M94" s="373"/>
      <c r="N94" s="351"/>
      <c r="O94" s="353">
        <f>ROUND(O93/12,2)</f>
        <v>29671.4</v>
      </c>
    </row>
    <row r="95" spans="1:15" ht="15.75" thickBot="1">
      <c r="A95" s="1690"/>
      <c r="B95" s="359" t="s">
        <v>191</v>
      </c>
      <c r="C95" s="183">
        <f>C93/12</f>
        <v>24487.75</v>
      </c>
      <c r="D95" s="184">
        <f>ROUND(D94/160.33,2)</f>
        <v>190.78</v>
      </c>
      <c r="E95" s="366"/>
      <c r="F95" s="184">
        <f t="shared" ref="F95:O95" si="30">ROUND(F94/160.33,2)</f>
        <v>193.48</v>
      </c>
      <c r="G95" s="184">
        <f t="shared" si="30"/>
        <v>156.38</v>
      </c>
      <c r="H95" s="184">
        <f t="shared" si="30"/>
        <v>195.34</v>
      </c>
      <c r="I95" s="184">
        <f t="shared" si="30"/>
        <v>158.54</v>
      </c>
      <c r="J95" s="184">
        <f t="shared" si="30"/>
        <v>198.03</v>
      </c>
      <c r="K95" s="184">
        <f t="shared" si="30"/>
        <v>160.03</v>
      </c>
      <c r="L95" s="184">
        <f t="shared" si="30"/>
        <v>199.9</v>
      </c>
      <c r="M95" s="184">
        <f t="shared" si="30"/>
        <v>0</v>
      </c>
      <c r="N95" s="184">
        <f t="shared" si="30"/>
        <v>0</v>
      </c>
      <c r="O95" s="184">
        <f t="shared" si="30"/>
        <v>185.06</v>
      </c>
    </row>
    <row r="96" spans="1:15">
      <c r="A96" s="1688">
        <v>31</v>
      </c>
      <c r="B96" s="189" t="s">
        <v>93</v>
      </c>
      <c r="C96" s="178">
        <v>298795</v>
      </c>
      <c r="D96" s="182">
        <f>ROUND((C96*(1+'Løntabel gældende fra'!$D$7%)),0)</f>
        <v>373233</v>
      </c>
      <c r="E96" s="180">
        <v>302696</v>
      </c>
      <c r="F96" s="181">
        <f>ROUND((E96*(1+'Løntabel gældende fra'!$D$7%)),0)</f>
        <v>378105</v>
      </c>
      <c r="G96" s="178">
        <v>305398</v>
      </c>
      <c r="H96" s="182">
        <f>ROUND((G96*(1+'Løntabel gældende fra'!$D$7%)),0)</f>
        <v>381481</v>
      </c>
      <c r="I96" s="180">
        <v>309299</v>
      </c>
      <c r="J96" s="181">
        <f>ROUND((I96*(1+'Løntabel gældende fra'!$D$7%)),0)</f>
        <v>386353</v>
      </c>
      <c r="K96" s="178">
        <v>312000</v>
      </c>
      <c r="L96" s="182">
        <f>ROUND((K96*(1+'Løntabel gældende fra'!$D$7%)),0)</f>
        <v>389727</v>
      </c>
      <c r="M96" s="375"/>
      <c r="N96" s="354">
        <v>290512.64000000001</v>
      </c>
      <c r="O96" s="355">
        <f>ROUND(N96*(1+'Løntabel gældende fra'!$D$7%),2)</f>
        <v>362886.89</v>
      </c>
    </row>
    <row r="97" spans="1:15">
      <c r="A97" s="1689"/>
      <c r="B97" s="358" t="s">
        <v>196</v>
      </c>
      <c r="C97" s="361"/>
      <c r="D97" s="368">
        <f>ROUND(D96/12,2)</f>
        <v>31102.75</v>
      </c>
      <c r="E97" s="365">
        <f>E96/12</f>
        <v>25224.666666666668</v>
      </c>
      <c r="F97" s="350">
        <f>ROUND(F96/12,2)</f>
        <v>31508.75</v>
      </c>
      <c r="G97" s="361">
        <f>G96/12</f>
        <v>25449.833333333332</v>
      </c>
      <c r="H97" s="368">
        <f>ROUND(H96/12,2)</f>
        <v>31790.080000000002</v>
      </c>
      <c r="I97" s="365">
        <f>I96/12</f>
        <v>25774.916666666668</v>
      </c>
      <c r="J97" s="350">
        <f>ROUND(J96/12,2)</f>
        <v>32196.080000000002</v>
      </c>
      <c r="K97" s="361">
        <f>K96/12</f>
        <v>26000</v>
      </c>
      <c r="L97" s="368">
        <f>ROUND(L96/12,2)</f>
        <v>32477.25</v>
      </c>
      <c r="M97" s="373"/>
      <c r="N97" s="351"/>
      <c r="O97" s="353">
        <f>ROUND(O96/12,2)</f>
        <v>30240.57</v>
      </c>
    </row>
    <row r="98" spans="1:15" ht="15.75" thickBot="1">
      <c r="A98" s="1692"/>
      <c r="B98" s="360" t="s">
        <v>191</v>
      </c>
      <c r="C98" s="364">
        <f>C96/12</f>
        <v>24899.583333333332</v>
      </c>
      <c r="D98" s="184">
        <f>ROUND(D97/160.33,2)</f>
        <v>193.99</v>
      </c>
      <c r="E98" s="367"/>
      <c r="F98" s="184">
        <f t="shared" ref="F98:O98" si="31">ROUND(F97/160.33,2)</f>
        <v>196.52</v>
      </c>
      <c r="G98" s="184">
        <f t="shared" si="31"/>
        <v>158.72999999999999</v>
      </c>
      <c r="H98" s="184">
        <f t="shared" si="31"/>
        <v>198.28</v>
      </c>
      <c r="I98" s="184">
        <f t="shared" si="31"/>
        <v>160.76</v>
      </c>
      <c r="J98" s="184">
        <f t="shared" si="31"/>
        <v>200.81</v>
      </c>
      <c r="K98" s="184">
        <f t="shared" si="31"/>
        <v>162.16999999999999</v>
      </c>
      <c r="L98" s="184">
        <f t="shared" si="31"/>
        <v>202.57</v>
      </c>
      <c r="M98" s="184">
        <f t="shared" si="31"/>
        <v>0</v>
      </c>
      <c r="N98" s="184">
        <f t="shared" si="31"/>
        <v>0</v>
      </c>
      <c r="O98" s="184">
        <f t="shared" si="31"/>
        <v>188.61</v>
      </c>
    </row>
    <row r="99" spans="1:15">
      <c r="A99" s="1691">
        <v>32</v>
      </c>
      <c r="B99" s="190" t="s">
        <v>93</v>
      </c>
      <c r="C99" s="186">
        <v>303852</v>
      </c>
      <c r="D99" s="179">
        <f>ROUND((C99*(1+'Løntabel gældende fra'!$D$7%)),0)</f>
        <v>379549</v>
      </c>
      <c r="E99" s="187">
        <v>307490</v>
      </c>
      <c r="F99" s="188">
        <f>ROUND((E99*(1+'Løntabel gældende fra'!$D$7%)),0)</f>
        <v>384094</v>
      </c>
      <c r="G99" s="186">
        <v>310009</v>
      </c>
      <c r="H99" s="179">
        <f>ROUND((G99*(1+'Løntabel gældende fra'!$D$7%)),0)</f>
        <v>387240</v>
      </c>
      <c r="I99" s="187">
        <v>313649</v>
      </c>
      <c r="J99" s="188">
        <f>ROUND((I99*(1+'Løntabel gældende fra'!$D$7%)),0)</f>
        <v>391787</v>
      </c>
      <c r="K99" s="186">
        <v>316167</v>
      </c>
      <c r="L99" s="179">
        <f>ROUND((K99*(1+'Løntabel gældende fra'!$D$7%)),0)</f>
        <v>394932</v>
      </c>
      <c r="M99" s="374"/>
      <c r="N99" s="352">
        <v>296125.21000000002</v>
      </c>
      <c r="O99" s="193">
        <f>ROUND(N99*(1+'Løntabel gældende fra'!$D$7%),2)</f>
        <v>369897.7</v>
      </c>
    </row>
    <row r="100" spans="1:15">
      <c r="A100" s="1689"/>
      <c r="B100" s="358" t="s">
        <v>94</v>
      </c>
      <c r="C100" s="361"/>
      <c r="D100" s="368">
        <f>ROUND(D99/12,2)</f>
        <v>31629.08</v>
      </c>
      <c r="E100" s="365">
        <f>E99/12</f>
        <v>25624.166666666668</v>
      </c>
      <c r="F100" s="350">
        <f>ROUND(F99/12,2)</f>
        <v>32007.83</v>
      </c>
      <c r="G100" s="361">
        <f>G99/12</f>
        <v>25834.083333333332</v>
      </c>
      <c r="H100" s="368">
        <f>ROUND(H99/12,2)</f>
        <v>32270</v>
      </c>
      <c r="I100" s="365">
        <f>I99/12</f>
        <v>26137.416666666668</v>
      </c>
      <c r="J100" s="350">
        <f>ROUND(J99/12,2)</f>
        <v>32648.92</v>
      </c>
      <c r="K100" s="361">
        <f>K99/12</f>
        <v>26347.25</v>
      </c>
      <c r="L100" s="368">
        <f>ROUND(L99/12,2)</f>
        <v>32911</v>
      </c>
      <c r="M100" s="373"/>
      <c r="N100" s="351"/>
      <c r="O100" s="353">
        <f>ROUND(O99/12,2)</f>
        <v>30824.81</v>
      </c>
    </row>
    <row r="101" spans="1:15" ht="15.75" thickBot="1">
      <c r="A101" s="1690"/>
      <c r="B101" s="359" t="s">
        <v>191</v>
      </c>
      <c r="C101" s="183">
        <f>C99/12</f>
        <v>25321</v>
      </c>
      <c r="D101" s="184">
        <f>ROUND(D100/160.33,2)</f>
        <v>197.27</v>
      </c>
      <c r="E101" s="366"/>
      <c r="F101" s="184">
        <f t="shared" ref="F101:O101" si="32">ROUND(F100/160.33,2)</f>
        <v>199.64</v>
      </c>
      <c r="G101" s="184">
        <f t="shared" si="32"/>
        <v>161.13</v>
      </c>
      <c r="H101" s="184">
        <f t="shared" si="32"/>
        <v>201.27</v>
      </c>
      <c r="I101" s="184">
        <f t="shared" si="32"/>
        <v>163.02000000000001</v>
      </c>
      <c r="J101" s="184">
        <f t="shared" si="32"/>
        <v>203.64</v>
      </c>
      <c r="K101" s="184">
        <f t="shared" si="32"/>
        <v>164.33</v>
      </c>
      <c r="L101" s="184">
        <f t="shared" si="32"/>
        <v>205.27</v>
      </c>
      <c r="M101" s="184">
        <f t="shared" si="32"/>
        <v>0</v>
      </c>
      <c r="N101" s="184">
        <f t="shared" si="32"/>
        <v>0</v>
      </c>
      <c r="O101" s="184">
        <f t="shared" si="32"/>
        <v>192.26</v>
      </c>
    </row>
    <row r="102" spans="1:15">
      <c r="A102" s="1688">
        <v>33</v>
      </c>
      <c r="B102" s="189" t="s">
        <v>93</v>
      </c>
      <c r="C102" s="178">
        <v>309016</v>
      </c>
      <c r="D102" s="182">
        <f>ROUND((C102*(1+'Løntabel gældende fra'!$D$7%)),0)</f>
        <v>386000</v>
      </c>
      <c r="E102" s="180">
        <v>312375</v>
      </c>
      <c r="F102" s="181">
        <f>ROUND((E102*(1+'Løntabel gældende fra'!$D$7%)),0)</f>
        <v>390196</v>
      </c>
      <c r="G102" s="178">
        <v>314703</v>
      </c>
      <c r="H102" s="182">
        <f>ROUND((G102*(1+'Løntabel gældende fra'!$D$7%)),0)</f>
        <v>393104</v>
      </c>
      <c r="I102" s="180">
        <v>318063</v>
      </c>
      <c r="J102" s="181">
        <f>ROUND((I102*(1+'Løntabel gældende fra'!$D$7%)),0)</f>
        <v>397301</v>
      </c>
      <c r="K102" s="178">
        <v>320390</v>
      </c>
      <c r="L102" s="182">
        <f>ROUND((K102*(1+'Løntabel gældende fra'!$D$7%)),0)</f>
        <v>400207</v>
      </c>
      <c r="M102" s="375"/>
      <c r="N102" s="354">
        <v>301881.8</v>
      </c>
      <c r="O102" s="355">
        <f>ROUND(N102*(1+'Løntabel gældende fra'!$D$7%),2)</f>
        <v>377088.41</v>
      </c>
    </row>
    <row r="103" spans="1:15">
      <c r="A103" s="1689"/>
      <c r="B103" s="358" t="s">
        <v>196</v>
      </c>
      <c r="C103" s="361"/>
      <c r="D103" s="368">
        <f>ROUND(D102/12,2)</f>
        <v>32166.67</v>
      </c>
      <c r="E103" s="365">
        <f>E102/12</f>
        <v>26031.25</v>
      </c>
      <c r="F103" s="350">
        <f>ROUND(F102/12,2)</f>
        <v>32516.33</v>
      </c>
      <c r="G103" s="361">
        <f>G102/12</f>
        <v>26225.25</v>
      </c>
      <c r="H103" s="368">
        <f>ROUND(H102/12,2)</f>
        <v>32758.67</v>
      </c>
      <c r="I103" s="365">
        <f>I102/12</f>
        <v>26505.25</v>
      </c>
      <c r="J103" s="350">
        <f>ROUND(J102/12,2)</f>
        <v>33108.42</v>
      </c>
      <c r="K103" s="361">
        <f>K102/12</f>
        <v>26699.166666666668</v>
      </c>
      <c r="L103" s="368">
        <f>ROUND(L102/12,2)</f>
        <v>33350.58</v>
      </c>
      <c r="M103" s="373"/>
      <c r="N103" s="351"/>
      <c r="O103" s="353">
        <f>ROUND(O102/12,2)</f>
        <v>31424.03</v>
      </c>
    </row>
    <row r="104" spans="1:15" ht="15.75" thickBot="1">
      <c r="A104" s="1692"/>
      <c r="B104" s="360" t="s">
        <v>191</v>
      </c>
      <c r="C104" s="364">
        <f>C102/12</f>
        <v>25751.333333333332</v>
      </c>
      <c r="D104" s="184">
        <f>ROUND(D103/160.33,2)</f>
        <v>200.63</v>
      </c>
      <c r="E104" s="367"/>
      <c r="F104" s="184">
        <f t="shared" ref="F104:O104" si="33">ROUND(F103/160.33,2)</f>
        <v>202.81</v>
      </c>
      <c r="G104" s="184">
        <f t="shared" si="33"/>
        <v>163.57</v>
      </c>
      <c r="H104" s="184">
        <f t="shared" si="33"/>
        <v>204.32</v>
      </c>
      <c r="I104" s="184">
        <f t="shared" si="33"/>
        <v>165.32</v>
      </c>
      <c r="J104" s="184">
        <f t="shared" si="33"/>
        <v>206.5</v>
      </c>
      <c r="K104" s="184">
        <f t="shared" si="33"/>
        <v>166.53</v>
      </c>
      <c r="L104" s="184">
        <f t="shared" si="33"/>
        <v>208.01</v>
      </c>
      <c r="M104" s="184">
        <f t="shared" si="33"/>
        <v>0</v>
      </c>
      <c r="N104" s="184">
        <f t="shared" si="33"/>
        <v>0</v>
      </c>
      <c r="O104" s="184">
        <f t="shared" si="33"/>
        <v>196</v>
      </c>
    </row>
    <row r="105" spans="1:15">
      <c r="A105" s="1691">
        <v>34</v>
      </c>
      <c r="B105" s="190" t="s">
        <v>93</v>
      </c>
      <c r="C105" s="186">
        <v>314298</v>
      </c>
      <c r="D105" s="179">
        <f>ROUND((C105*(1+'Løntabel gældende fra'!$D$7%)),0)</f>
        <v>392598</v>
      </c>
      <c r="E105" s="187">
        <v>317363</v>
      </c>
      <c r="F105" s="188">
        <f>ROUND((E105*(1+'Løntabel gældende fra'!$D$7%)),0)</f>
        <v>396426</v>
      </c>
      <c r="G105" s="186">
        <v>319485</v>
      </c>
      <c r="H105" s="179">
        <f>ROUND((G105*(1+'Løntabel gældende fra'!$D$7%)),0)</f>
        <v>399077</v>
      </c>
      <c r="I105" s="187">
        <v>322548</v>
      </c>
      <c r="J105" s="188">
        <f>ROUND((I105*(1+'Løntabel gældende fra'!$D$7%)),0)</f>
        <v>402903</v>
      </c>
      <c r="K105" s="186">
        <v>324670</v>
      </c>
      <c r="L105" s="179">
        <f>ROUND((K105*(1+'Løntabel gældende fra'!$D$7%)),0)</f>
        <v>405554</v>
      </c>
      <c r="M105" s="374"/>
      <c r="N105" s="352">
        <v>307790.62</v>
      </c>
      <c r="O105" s="193">
        <f>ROUND(N105*(1+'Løntabel gældende fra'!$D$7%),2)</f>
        <v>384469.27</v>
      </c>
    </row>
    <row r="106" spans="1:15">
      <c r="A106" s="1689"/>
      <c r="B106" s="358" t="s">
        <v>196</v>
      </c>
      <c r="C106" s="361"/>
      <c r="D106" s="368">
        <f>ROUND(D105/12,2)</f>
        <v>32716.5</v>
      </c>
      <c r="E106" s="365">
        <f>E105/12</f>
        <v>26446.916666666668</v>
      </c>
      <c r="F106" s="350">
        <f>ROUND(F105/12,2)</f>
        <v>33035.5</v>
      </c>
      <c r="G106" s="361">
        <f>G105/12</f>
        <v>26623.75</v>
      </c>
      <c r="H106" s="368">
        <f>ROUND(H105/12,2)</f>
        <v>33256.42</v>
      </c>
      <c r="I106" s="365">
        <f>I105/12</f>
        <v>26879</v>
      </c>
      <c r="J106" s="350">
        <f>ROUND(J105/12,2)</f>
        <v>33575.25</v>
      </c>
      <c r="K106" s="361">
        <f>K105/12</f>
        <v>27055.833333333332</v>
      </c>
      <c r="L106" s="368">
        <f>ROUND(L105/12,2)</f>
        <v>33796.17</v>
      </c>
      <c r="M106" s="373"/>
      <c r="N106" s="351"/>
      <c r="O106" s="353">
        <f>ROUND(O105/12,2)</f>
        <v>32039.11</v>
      </c>
    </row>
    <row r="107" spans="1:15" ht="15.75" thickBot="1">
      <c r="A107" s="1690"/>
      <c r="B107" s="359" t="s">
        <v>191</v>
      </c>
      <c r="C107" s="183">
        <f>C105/12</f>
        <v>26191.5</v>
      </c>
      <c r="D107" s="184">
        <f>ROUND(D106/160.33,2)</f>
        <v>204.06</v>
      </c>
      <c r="E107" s="366"/>
      <c r="F107" s="184">
        <f t="shared" ref="F107:O107" si="34">ROUND(F106/160.33,2)</f>
        <v>206.05</v>
      </c>
      <c r="G107" s="184">
        <f t="shared" si="34"/>
        <v>166.06</v>
      </c>
      <c r="H107" s="184">
        <f t="shared" si="34"/>
        <v>207.42</v>
      </c>
      <c r="I107" s="184">
        <f t="shared" si="34"/>
        <v>167.65</v>
      </c>
      <c r="J107" s="184">
        <f t="shared" si="34"/>
        <v>209.41</v>
      </c>
      <c r="K107" s="184">
        <f t="shared" si="34"/>
        <v>168.75</v>
      </c>
      <c r="L107" s="184">
        <f t="shared" si="34"/>
        <v>210.79</v>
      </c>
      <c r="M107" s="184">
        <f t="shared" si="34"/>
        <v>0</v>
      </c>
      <c r="N107" s="184">
        <f t="shared" si="34"/>
        <v>0</v>
      </c>
      <c r="O107" s="184">
        <f t="shared" si="34"/>
        <v>199.83</v>
      </c>
    </row>
    <row r="108" spans="1:15">
      <c r="A108" s="1688">
        <v>35</v>
      </c>
      <c r="B108" s="189" t="s">
        <v>93</v>
      </c>
      <c r="C108" s="178">
        <v>319697</v>
      </c>
      <c r="D108" s="182">
        <f>ROUND((C108*(1+'Løntabel gældende fra'!$D$7%)),0)</f>
        <v>399342</v>
      </c>
      <c r="E108" s="180">
        <v>322450</v>
      </c>
      <c r="F108" s="181">
        <f>ROUND((E108*(1+'Løntabel gældende fra'!$D$7%)),0)</f>
        <v>402781</v>
      </c>
      <c r="G108" s="178">
        <v>324354</v>
      </c>
      <c r="H108" s="182">
        <f>ROUND((G108*(1+'Løntabel gældende fra'!$D$7%)),0)</f>
        <v>405159</v>
      </c>
      <c r="I108" s="180">
        <v>327107</v>
      </c>
      <c r="J108" s="181">
        <f>ROUND((I108*(1+'Løntabel gældende fra'!$D$7%)),0)</f>
        <v>408598</v>
      </c>
      <c r="K108" s="178">
        <v>329011</v>
      </c>
      <c r="L108" s="182">
        <f>ROUND((K108*(1+'Løntabel gældende fra'!$D$7%)),0)</f>
        <v>410976</v>
      </c>
      <c r="M108" s="375"/>
      <c r="N108" s="354">
        <v>313854.56</v>
      </c>
      <c r="O108" s="355">
        <f>ROUND(N108*(1+'Løntabel gældende fra'!$D$7%),2)</f>
        <v>392043.89</v>
      </c>
    </row>
    <row r="109" spans="1:15">
      <c r="A109" s="1689"/>
      <c r="B109" s="358" t="s">
        <v>196</v>
      </c>
      <c r="C109" s="361"/>
      <c r="D109" s="368">
        <f>ROUND(D108/12,2)</f>
        <v>33278.5</v>
      </c>
      <c r="E109" s="365">
        <f>E108/12</f>
        <v>26870.833333333332</v>
      </c>
      <c r="F109" s="350">
        <f>ROUND(F108/12,2)</f>
        <v>33565.08</v>
      </c>
      <c r="G109" s="361">
        <f>G108/12</f>
        <v>27029.5</v>
      </c>
      <c r="H109" s="368">
        <f>ROUND(H108/12,2)</f>
        <v>33763.25</v>
      </c>
      <c r="I109" s="365">
        <f>I108/12</f>
        <v>27258.916666666668</v>
      </c>
      <c r="J109" s="350">
        <f>ROUND(J108/12,2)</f>
        <v>34049.83</v>
      </c>
      <c r="K109" s="361">
        <f>K108/12</f>
        <v>27417.583333333332</v>
      </c>
      <c r="L109" s="368">
        <f>ROUND(L108/12,2)</f>
        <v>34248</v>
      </c>
      <c r="M109" s="373"/>
      <c r="N109" s="351"/>
      <c r="O109" s="353">
        <f>ROUND(O108/12,2)</f>
        <v>32670.32</v>
      </c>
    </row>
    <row r="110" spans="1:15" ht="15.75" thickBot="1">
      <c r="A110" s="1692"/>
      <c r="B110" s="360" t="s">
        <v>191</v>
      </c>
      <c r="C110" s="364">
        <f>C108/12</f>
        <v>26641.416666666668</v>
      </c>
      <c r="D110" s="184">
        <f>ROUND(D109/160.33,2)</f>
        <v>207.56</v>
      </c>
      <c r="E110" s="367"/>
      <c r="F110" s="184">
        <f t="shared" ref="F110:O110" si="35">ROUND(F109/160.33,2)</f>
        <v>209.35</v>
      </c>
      <c r="G110" s="184">
        <f t="shared" si="35"/>
        <v>168.59</v>
      </c>
      <c r="H110" s="184">
        <f t="shared" si="35"/>
        <v>210.59</v>
      </c>
      <c r="I110" s="184">
        <f t="shared" si="35"/>
        <v>170.02</v>
      </c>
      <c r="J110" s="184">
        <f t="shared" si="35"/>
        <v>212.37</v>
      </c>
      <c r="K110" s="184">
        <f t="shared" si="35"/>
        <v>171.01</v>
      </c>
      <c r="L110" s="184">
        <f t="shared" si="35"/>
        <v>213.61</v>
      </c>
      <c r="M110" s="184">
        <f t="shared" si="35"/>
        <v>0</v>
      </c>
      <c r="N110" s="184">
        <f t="shared" si="35"/>
        <v>0</v>
      </c>
      <c r="O110" s="184">
        <f t="shared" si="35"/>
        <v>203.77</v>
      </c>
    </row>
    <row r="111" spans="1:15">
      <c r="A111" s="1691">
        <v>36</v>
      </c>
      <c r="B111" s="190" t="s">
        <v>93</v>
      </c>
      <c r="C111" s="186">
        <v>325214</v>
      </c>
      <c r="D111" s="179">
        <f>ROUND((C111*(1+'Løntabel gældende fra'!$D$7%)),0)</f>
        <v>406233</v>
      </c>
      <c r="E111" s="187">
        <v>327634</v>
      </c>
      <c r="F111" s="188">
        <f>ROUND((E111*(1+'Løntabel gældende fra'!$D$7%)),0)</f>
        <v>409256</v>
      </c>
      <c r="G111" s="186">
        <v>329310</v>
      </c>
      <c r="H111" s="179">
        <f>ROUND((G111*(1+'Løntabel gældende fra'!$D$7%)),0)</f>
        <v>411350</v>
      </c>
      <c r="I111" s="187">
        <v>331731</v>
      </c>
      <c r="J111" s="188">
        <f>ROUND((I111*(1+'Løntabel gældende fra'!$D$7%)),0)</f>
        <v>414374</v>
      </c>
      <c r="K111" s="186">
        <v>333406</v>
      </c>
      <c r="L111" s="179">
        <f>ROUND((K111*(1+'Løntabel gældende fra'!$D$7%)),0)</f>
        <v>416466</v>
      </c>
      <c r="M111" s="374"/>
      <c r="N111" s="352">
        <v>320074.68</v>
      </c>
      <c r="O111" s="193">
        <f>ROUND(N111*(1+'Løntabel gældende fra'!$D$7%),2)</f>
        <v>399813.6</v>
      </c>
    </row>
    <row r="112" spans="1:15">
      <c r="A112" s="1689"/>
      <c r="B112" s="358" t="s">
        <v>196</v>
      </c>
      <c r="C112" s="361"/>
      <c r="D112" s="368">
        <f>ROUND(D111/12,2)</f>
        <v>33852.75</v>
      </c>
      <c r="E112" s="365">
        <f>E111/12</f>
        <v>27302.833333333332</v>
      </c>
      <c r="F112" s="350">
        <f>ROUND(F111/12,2)</f>
        <v>34104.67</v>
      </c>
      <c r="G112" s="361">
        <f>G111/12</f>
        <v>27442.5</v>
      </c>
      <c r="H112" s="368">
        <f>ROUND(H111/12,2)</f>
        <v>34279.17</v>
      </c>
      <c r="I112" s="365">
        <f>I111/12</f>
        <v>27644.25</v>
      </c>
      <c r="J112" s="350">
        <f>ROUND(J111/12,2)</f>
        <v>34531.17</v>
      </c>
      <c r="K112" s="361">
        <f>K111/12</f>
        <v>27783.833333333332</v>
      </c>
      <c r="L112" s="368">
        <f>ROUND(L111/12,2)</f>
        <v>34705.5</v>
      </c>
      <c r="M112" s="373"/>
      <c r="N112" s="351"/>
      <c r="O112" s="353">
        <f>ROUND(O111/12,2)</f>
        <v>33317.800000000003</v>
      </c>
    </row>
    <row r="113" spans="1:15" ht="15.75" thickBot="1">
      <c r="A113" s="1690"/>
      <c r="B113" s="359" t="s">
        <v>191</v>
      </c>
      <c r="C113" s="183">
        <f>C111/12</f>
        <v>27101.166666666668</v>
      </c>
      <c r="D113" s="184">
        <f>ROUND(D112/160.33,2)</f>
        <v>211.14</v>
      </c>
      <c r="E113" s="366"/>
      <c r="F113" s="184">
        <f t="shared" ref="F113:O113" si="36">ROUND(F112/160.33,2)</f>
        <v>212.72</v>
      </c>
      <c r="G113" s="184">
        <f t="shared" si="36"/>
        <v>171.16</v>
      </c>
      <c r="H113" s="184">
        <f t="shared" si="36"/>
        <v>213.8</v>
      </c>
      <c r="I113" s="184">
        <f t="shared" si="36"/>
        <v>172.42</v>
      </c>
      <c r="J113" s="184">
        <f t="shared" si="36"/>
        <v>215.38</v>
      </c>
      <c r="K113" s="184">
        <f t="shared" si="36"/>
        <v>173.29</v>
      </c>
      <c r="L113" s="184">
        <f t="shared" si="36"/>
        <v>216.46</v>
      </c>
      <c r="M113" s="184">
        <f t="shared" si="36"/>
        <v>0</v>
      </c>
      <c r="N113" s="184">
        <f t="shared" si="36"/>
        <v>0</v>
      </c>
      <c r="O113" s="184">
        <f t="shared" si="36"/>
        <v>207.81</v>
      </c>
    </row>
    <row r="114" spans="1:15">
      <c r="A114" s="1688">
        <v>37</v>
      </c>
      <c r="B114" s="189" t="s">
        <v>93</v>
      </c>
      <c r="C114" s="178">
        <v>330853</v>
      </c>
      <c r="D114" s="182">
        <f>ROUND((C114*(1+'Løntabel gældende fra'!$D$7%)),0)</f>
        <v>413277</v>
      </c>
      <c r="E114" s="180">
        <v>332923</v>
      </c>
      <c r="F114" s="181">
        <f>ROUND((E114*(1+'Løntabel gældende fra'!$D$7%)),0)</f>
        <v>415863</v>
      </c>
      <c r="G114" s="178">
        <v>334355</v>
      </c>
      <c r="H114" s="182">
        <f>ROUND((G114*(1+'Løntabel gældende fra'!$D$7%)),0)</f>
        <v>417652</v>
      </c>
      <c r="I114" s="180">
        <v>336425</v>
      </c>
      <c r="J114" s="181">
        <f>ROUND((I114*(1+'Løntabel gældende fra'!$D$7%)),0)</f>
        <v>420237</v>
      </c>
      <c r="K114" s="178">
        <v>337859</v>
      </c>
      <c r="L114" s="182">
        <f>ROUND((K114*(1+'Løntabel gældende fra'!$D$7%)),0)</f>
        <v>422028</v>
      </c>
      <c r="M114" s="375"/>
      <c r="N114" s="354">
        <v>326457.34000000003</v>
      </c>
      <c r="O114" s="355">
        <f>ROUND(N114*(1+'Løntabel gældende fra'!$D$7%),2)</f>
        <v>407786.35</v>
      </c>
    </row>
    <row r="115" spans="1:15">
      <c r="A115" s="1689"/>
      <c r="B115" s="358" t="s">
        <v>196</v>
      </c>
      <c r="C115" s="361"/>
      <c r="D115" s="368">
        <f>ROUND(D114/12,2)</f>
        <v>34439.75</v>
      </c>
      <c r="E115" s="365">
        <f>E114/12</f>
        <v>27743.583333333332</v>
      </c>
      <c r="F115" s="350">
        <f>ROUND(F114/12,2)</f>
        <v>34655.25</v>
      </c>
      <c r="G115" s="361">
        <f>G114/12</f>
        <v>27862.916666666668</v>
      </c>
      <c r="H115" s="368">
        <f>ROUND(H114/12,2)</f>
        <v>34804.33</v>
      </c>
      <c r="I115" s="365">
        <f>I114/12</f>
        <v>28035.416666666668</v>
      </c>
      <c r="J115" s="350">
        <f>ROUND(J114/12,2)</f>
        <v>35019.75</v>
      </c>
      <c r="K115" s="361">
        <f>K114/12</f>
        <v>28154.916666666668</v>
      </c>
      <c r="L115" s="368">
        <f>ROUND(L114/12,2)</f>
        <v>35169</v>
      </c>
      <c r="M115" s="373"/>
      <c r="N115" s="351"/>
      <c r="O115" s="353">
        <f>ROUND(O114/12,2)</f>
        <v>33982.199999999997</v>
      </c>
    </row>
    <row r="116" spans="1:15" ht="15.75" thickBot="1">
      <c r="A116" s="1692"/>
      <c r="B116" s="360" t="s">
        <v>191</v>
      </c>
      <c r="C116" s="364">
        <f>C114/12</f>
        <v>27571.083333333332</v>
      </c>
      <c r="D116" s="184">
        <f>ROUND(D115/160.33,2)</f>
        <v>214.81</v>
      </c>
      <c r="E116" s="367"/>
      <c r="F116" s="184">
        <f t="shared" ref="F116:O116" si="37">ROUND(F115/160.33,2)</f>
        <v>216.15</v>
      </c>
      <c r="G116" s="184">
        <f t="shared" si="37"/>
        <v>173.78</v>
      </c>
      <c r="H116" s="184">
        <f t="shared" si="37"/>
        <v>217.08</v>
      </c>
      <c r="I116" s="184">
        <f t="shared" si="37"/>
        <v>174.86</v>
      </c>
      <c r="J116" s="184">
        <f t="shared" si="37"/>
        <v>218.42</v>
      </c>
      <c r="K116" s="184">
        <f t="shared" si="37"/>
        <v>175.61</v>
      </c>
      <c r="L116" s="184">
        <f t="shared" si="37"/>
        <v>219.35</v>
      </c>
      <c r="M116" s="184">
        <f t="shared" si="37"/>
        <v>0</v>
      </c>
      <c r="N116" s="184">
        <f t="shared" si="37"/>
        <v>0</v>
      </c>
      <c r="O116" s="184">
        <f t="shared" si="37"/>
        <v>211.95</v>
      </c>
    </row>
    <row r="117" spans="1:15">
      <c r="A117" s="1691">
        <v>38</v>
      </c>
      <c r="B117" s="190" t="s">
        <v>93</v>
      </c>
      <c r="C117" s="186">
        <v>336808</v>
      </c>
      <c r="D117" s="179">
        <f>ROUND((C117*(1+'Løntabel gældende fra'!$D$7%)),0)</f>
        <v>420716</v>
      </c>
      <c r="E117" s="187">
        <v>338540</v>
      </c>
      <c r="F117" s="188">
        <f>ROUND((E117*(1+'Løntabel gældende fra'!$D$7%)),0)</f>
        <v>422879</v>
      </c>
      <c r="G117" s="186">
        <v>339739</v>
      </c>
      <c r="H117" s="179">
        <f>ROUND((G117*(1+'Løntabel gældende fra'!$D$7%)),0)</f>
        <v>424377</v>
      </c>
      <c r="I117" s="187">
        <v>341471</v>
      </c>
      <c r="J117" s="188">
        <f>ROUND((I117*(1+'Løntabel gældende fra'!$D$7%)),0)</f>
        <v>426540</v>
      </c>
      <c r="K117" s="186">
        <v>342672</v>
      </c>
      <c r="L117" s="179">
        <f>ROUND((K117*(1+'Løntabel gældende fra'!$D$7%)),0)</f>
        <v>428041</v>
      </c>
      <c r="M117" s="374"/>
      <c r="N117" s="352">
        <v>333128.88</v>
      </c>
      <c r="O117" s="193">
        <f>ROUND(N117*(1+'Løntabel gældende fra'!$D$7%),2)</f>
        <v>416119.95</v>
      </c>
    </row>
    <row r="118" spans="1:15">
      <c r="A118" s="1689"/>
      <c r="B118" s="358" t="s">
        <v>196</v>
      </c>
      <c r="C118" s="361"/>
      <c r="D118" s="368">
        <f>ROUND(D117/12,2)</f>
        <v>35059.67</v>
      </c>
      <c r="E118" s="365">
        <f>E117/12</f>
        <v>28211.666666666668</v>
      </c>
      <c r="F118" s="350">
        <f>ROUND(F117/12,2)</f>
        <v>35239.919999999998</v>
      </c>
      <c r="G118" s="361">
        <f>G117/12</f>
        <v>28311.583333333332</v>
      </c>
      <c r="H118" s="368">
        <f>ROUND(H117/12,2)</f>
        <v>35364.75</v>
      </c>
      <c r="I118" s="365">
        <f>I117/12</f>
        <v>28455.916666666668</v>
      </c>
      <c r="J118" s="350">
        <f>ROUND(J117/12,2)</f>
        <v>35545</v>
      </c>
      <c r="K118" s="361">
        <f>K117/12</f>
        <v>28556</v>
      </c>
      <c r="L118" s="368">
        <f>ROUND(L117/12,2)</f>
        <v>35670.080000000002</v>
      </c>
      <c r="M118" s="373"/>
      <c r="N118" s="351"/>
      <c r="O118" s="353">
        <f>ROUND(O117/12,2)</f>
        <v>34676.660000000003</v>
      </c>
    </row>
    <row r="119" spans="1:15" ht="15.75" thickBot="1">
      <c r="A119" s="1690"/>
      <c r="B119" s="359" t="s">
        <v>191</v>
      </c>
      <c r="C119" s="183">
        <f>C117/12</f>
        <v>28067.333333333332</v>
      </c>
      <c r="D119" s="184">
        <f>ROUND(D118/160.33,2)</f>
        <v>218.67</v>
      </c>
      <c r="E119" s="366"/>
      <c r="F119" s="184">
        <f t="shared" ref="F119:O119" si="38">ROUND(F118/160.33,2)</f>
        <v>219.8</v>
      </c>
      <c r="G119" s="184">
        <f t="shared" si="38"/>
        <v>176.58</v>
      </c>
      <c r="H119" s="184">
        <f t="shared" si="38"/>
        <v>220.57</v>
      </c>
      <c r="I119" s="184">
        <f t="shared" si="38"/>
        <v>177.48</v>
      </c>
      <c r="J119" s="184">
        <f t="shared" si="38"/>
        <v>221.7</v>
      </c>
      <c r="K119" s="184">
        <f t="shared" si="38"/>
        <v>178.11</v>
      </c>
      <c r="L119" s="184">
        <f t="shared" si="38"/>
        <v>222.48</v>
      </c>
      <c r="M119" s="184">
        <f t="shared" si="38"/>
        <v>0</v>
      </c>
      <c r="N119" s="184">
        <f t="shared" si="38"/>
        <v>0</v>
      </c>
      <c r="O119" s="184">
        <f t="shared" si="38"/>
        <v>216.28</v>
      </c>
    </row>
    <row r="120" spans="1:15">
      <c r="A120" s="1688">
        <v>39</v>
      </c>
      <c r="B120" s="189" t="s">
        <v>93</v>
      </c>
      <c r="C120" s="178">
        <v>342821</v>
      </c>
      <c r="D120" s="182">
        <f>ROUND((C120*(1+'Løntabel gældende fra'!$D$7%)),0)</f>
        <v>428227</v>
      </c>
      <c r="E120" s="180">
        <v>344156</v>
      </c>
      <c r="F120" s="181">
        <f>ROUND((E120*(1+'Løntabel gældende fra'!$D$7%)),0)</f>
        <v>429894</v>
      </c>
      <c r="G120" s="178">
        <v>345080</v>
      </c>
      <c r="H120" s="182">
        <f>ROUND((G120*(1+'Løntabel gældende fra'!$D$7%)),0)</f>
        <v>431048</v>
      </c>
      <c r="I120" s="180">
        <v>346413</v>
      </c>
      <c r="J120" s="181">
        <f>ROUND((I120*(1+'Løntabel gældende fra'!$D$7%)),0)</f>
        <v>432713</v>
      </c>
      <c r="K120" s="178">
        <v>347337</v>
      </c>
      <c r="L120" s="182">
        <f>ROUND((K120*(1+'Løntabel gældende fra'!$D$7%)),0)</f>
        <v>433868</v>
      </c>
      <c r="M120" s="375"/>
      <c r="N120" s="354">
        <v>339989.41</v>
      </c>
      <c r="O120" s="355">
        <f>ROUND(N120*(1+'Løntabel gældende fra'!$D$7%),2)</f>
        <v>424689.61</v>
      </c>
    </row>
    <row r="121" spans="1:15">
      <c r="A121" s="1689"/>
      <c r="B121" s="358" t="s">
        <v>196</v>
      </c>
      <c r="C121" s="361"/>
      <c r="D121" s="368">
        <f>ROUND(D120/12,2)</f>
        <v>35685.58</v>
      </c>
      <c r="E121" s="365">
        <f>E120/12</f>
        <v>28679.666666666668</v>
      </c>
      <c r="F121" s="350">
        <f>ROUND(F120/12,2)</f>
        <v>35824.5</v>
      </c>
      <c r="G121" s="361">
        <f>G120/12</f>
        <v>28756.666666666668</v>
      </c>
      <c r="H121" s="368">
        <f>ROUND(H120/12,2)</f>
        <v>35920.67</v>
      </c>
      <c r="I121" s="365">
        <f>I120/12</f>
        <v>28867.75</v>
      </c>
      <c r="J121" s="350">
        <f>ROUND(J120/12,2)</f>
        <v>36059.42</v>
      </c>
      <c r="K121" s="361">
        <f>K120/12</f>
        <v>28944.75</v>
      </c>
      <c r="L121" s="368">
        <f>ROUND(L120/12,2)</f>
        <v>36155.67</v>
      </c>
      <c r="M121" s="373"/>
      <c r="N121" s="351"/>
      <c r="O121" s="353">
        <f>ROUND(O120/12,2)</f>
        <v>35390.800000000003</v>
      </c>
    </row>
    <row r="122" spans="1:15" ht="15.75" thickBot="1">
      <c r="A122" s="1692"/>
      <c r="B122" s="360" t="s">
        <v>191</v>
      </c>
      <c r="C122" s="364">
        <f>C120/12</f>
        <v>28568.416666666668</v>
      </c>
      <c r="D122" s="184">
        <f>ROUND(D121/160.33,2)</f>
        <v>222.58</v>
      </c>
      <c r="E122" s="367"/>
      <c r="F122" s="184">
        <f t="shared" ref="F122:O122" si="39">ROUND(F121/160.33,2)</f>
        <v>223.44</v>
      </c>
      <c r="G122" s="184">
        <f t="shared" si="39"/>
        <v>179.36</v>
      </c>
      <c r="H122" s="184">
        <f t="shared" si="39"/>
        <v>224.04</v>
      </c>
      <c r="I122" s="184">
        <f t="shared" si="39"/>
        <v>180.05</v>
      </c>
      <c r="J122" s="184">
        <f t="shared" si="39"/>
        <v>224.91</v>
      </c>
      <c r="K122" s="184">
        <f t="shared" si="39"/>
        <v>180.53</v>
      </c>
      <c r="L122" s="184">
        <f t="shared" si="39"/>
        <v>225.51</v>
      </c>
      <c r="M122" s="184">
        <f t="shared" si="39"/>
        <v>0</v>
      </c>
      <c r="N122" s="184">
        <f t="shared" si="39"/>
        <v>0</v>
      </c>
      <c r="O122" s="184">
        <f t="shared" si="39"/>
        <v>220.74</v>
      </c>
    </row>
    <row r="123" spans="1:15">
      <c r="A123" s="1691">
        <v>40</v>
      </c>
      <c r="B123" s="190" t="s">
        <v>93</v>
      </c>
      <c r="C123" s="186">
        <v>348966</v>
      </c>
      <c r="D123" s="179">
        <f>ROUND((C123*(1+'Løntabel gældende fra'!$D$7%)),0)</f>
        <v>435903</v>
      </c>
      <c r="E123" s="187">
        <v>349878</v>
      </c>
      <c r="F123" s="188">
        <f>ROUND((E123*(1+'Løntabel gældende fra'!$D$7%)),0)</f>
        <v>437042</v>
      </c>
      <c r="G123" s="186">
        <v>350510</v>
      </c>
      <c r="H123" s="179">
        <f>ROUND((G123*(1+'Løntabel gældende fra'!$D$7%)),0)</f>
        <v>437831</v>
      </c>
      <c r="I123" s="187">
        <v>351422</v>
      </c>
      <c r="J123" s="188">
        <f>ROUND((I123*(1+'Løntabel gældende fra'!$D$7%)),0)</f>
        <v>438970</v>
      </c>
      <c r="K123" s="186">
        <v>352054</v>
      </c>
      <c r="L123" s="179">
        <f>ROUND((K123*(1+'Løntabel gældende fra'!$D$7%)),0)</f>
        <v>439760</v>
      </c>
      <c r="M123" s="374"/>
      <c r="N123" s="352">
        <v>347027.46</v>
      </c>
      <c r="O123" s="193">
        <f>ROUND(N123*(1+'Løntabel gældende fra'!$D$7%),2)</f>
        <v>433481.02</v>
      </c>
    </row>
    <row r="124" spans="1:15">
      <c r="A124" s="1689"/>
      <c r="B124" s="358" t="s">
        <v>196</v>
      </c>
      <c r="C124" s="361"/>
      <c r="D124" s="368">
        <f>ROUND(D123/12,2)</f>
        <v>36325.25</v>
      </c>
      <c r="E124" s="365">
        <f>E123/12</f>
        <v>29156.5</v>
      </c>
      <c r="F124" s="350">
        <f>ROUND(F123/12,2)</f>
        <v>36420.17</v>
      </c>
      <c r="G124" s="361">
        <f>G123/12</f>
        <v>29209.166666666668</v>
      </c>
      <c r="H124" s="368">
        <f>ROUND(H123/12,2)</f>
        <v>36485.919999999998</v>
      </c>
      <c r="I124" s="365">
        <f>I123/12</f>
        <v>29285.166666666668</v>
      </c>
      <c r="J124" s="350">
        <f>ROUND(J123/12,2)</f>
        <v>36580.83</v>
      </c>
      <c r="K124" s="361">
        <f>K123/12</f>
        <v>29337.833333333332</v>
      </c>
      <c r="L124" s="368">
        <f>ROUND(L123/12,2)</f>
        <v>36646.67</v>
      </c>
      <c r="M124" s="373"/>
      <c r="N124" s="351"/>
      <c r="O124" s="353">
        <f>ROUND(O123/12,2)</f>
        <v>36123.42</v>
      </c>
    </row>
    <row r="125" spans="1:15" ht="15.75" thickBot="1">
      <c r="A125" s="1690"/>
      <c r="B125" s="359" t="s">
        <v>191</v>
      </c>
      <c r="C125" s="183">
        <f>C123/12</f>
        <v>29080.5</v>
      </c>
      <c r="D125" s="184">
        <f>ROUND(D124/160.33,2)</f>
        <v>226.57</v>
      </c>
      <c r="E125" s="366"/>
      <c r="F125" s="184">
        <f t="shared" ref="F125:O125" si="40">ROUND(F124/160.33,2)</f>
        <v>227.16</v>
      </c>
      <c r="G125" s="184">
        <f t="shared" si="40"/>
        <v>182.18</v>
      </c>
      <c r="H125" s="184">
        <f t="shared" si="40"/>
        <v>227.57</v>
      </c>
      <c r="I125" s="184">
        <f t="shared" si="40"/>
        <v>182.66</v>
      </c>
      <c r="J125" s="184">
        <f t="shared" si="40"/>
        <v>228.16</v>
      </c>
      <c r="K125" s="184">
        <f t="shared" si="40"/>
        <v>182.98</v>
      </c>
      <c r="L125" s="184">
        <f t="shared" si="40"/>
        <v>228.57</v>
      </c>
      <c r="M125" s="184">
        <f t="shared" si="40"/>
        <v>0</v>
      </c>
      <c r="N125" s="184">
        <f t="shared" si="40"/>
        <v>0</v>
      </c>
      <c r="O125" s="184">
        <f t="shared" si="40"/>
        <v>225.31</v>
      </c>
    </row>
    <row r="126" spans="1:15">
      <c r="A126" s="1688">
        <v>41</v>
      </c>
      <c r="B126" s="189" t="s">
        <v>93</v>
      </c>
      <c r="C126" s="178">
        <v>355245</v>
      </c>
      <c r="D126" s="182">
        <f>ROUND((C126*(1+'Løntabel gældende fra'!$D$7%)),0)</f>
        <v>443746</v>
      </c>
      <c r="E126" s="180">
        <v>355712</v>
      </c>
      <c r="F126" s="181">
        <f>ROUND((E126*(1+'Løntabel gældende fra'!$D$7%)),0)</f>
        <v>444329</v>
      </c>
      <c r="G126" s="178">
        <v>356037</v>
      </c>
      <c r="H126" s="182">
        <f>ROUND((G126*(1+'Løntabel gældende fra'!$D$7%)),0)</f>
        <v>444735</v>
      </c>
      <c r="I126" s="180">
        <v>356505</v>
      </c>
      <c r="J126" s="181">
        <f>ROUND((I126*(1+'Løntabel gældende fra'!$D$7%)),0)</f>
        <v>445320</v>
      </c>
      <c r="K126" s="178">
        <v>356828</v>
      </c>
      <c r="L126" s="182">
        <f>ROUND((K126*(1+'Løntabel gældende fra'!$D$7%)),0)</f>
        <v>445723</v>
      </c>
      <c r="M126" s="375"/>
      <c r="N126" s="354">
        <v>354249.23</v>
      </c>
      <c r="O126" s="355">
        <f>ROUND(N126*(1+'Løntabel gældende fra'!$D$7%),2)</f>
        <v>442501.92</v>
      </c>
    </row>
    <row r="127" spans="1:15">
      <c r="A127" s="1689"/>
      <c r="B127" s="358" t="s">
        <v>196</v>
      </c>
      <c r="C127" s="361"/>
      <c r="D127" s="368">
        <f>ROUND(D126/12,2)</f>
        <v>36978.83</v>
      </c>
      <c r="E127" s="365">
        <f>E126/12</f>
        <v>29642.666666666668</v>
      </c>
      <c r="F127" s="350">
        <f>ROUND(F126/12,2)</f>
        <v>37027.42</v>
      </c>
      <c r="G127" s="361">
        <f>G126/12</f>
        <v>29669.75</v>
      </c>
      <c r="H127" s="368">
        <f>ROUND(H126/12,2)</f>
        <v>37061.25</v>
      </c>
      <c r="I127" s="365">
        <f>I126/12</f>
        <v>29708.75</v>
      </c>
      <c r="J127" s="350">
        <f>ROUND(J126/12,2)</f>
        <v>37110</v>
      </c>
      <c r="K127" s="361">
        <f>K126/12</f>
        <v>29735.666666666668</v>
      </c>
      <c r="L127" s="368">
        <f>ROUND(L126/12,2)</f>
        <v>37143.58</v>
      </c>
      <c r="M127" s="373"/>
      <c r="N127" s="351"/>
      <c r="O127" s="353">
        <f>ROUND(O126/12,2)</f>
        <v>36875.160000000003</v>
      </c>
    </row>
    <row r="128" spans="1:15" ht="15.75" thickBot="1">
      <c r="A128" s="1692"/>
      <c r="B128" s="360" t="s">
        <v>191</v>
      </c>
      <c r="C128" s="364">
        <f>C126/12</f>
        <v>29603.75</v>
      </c>
      <c r="D128" s="184">
        <f>ROUND(D127/160.33,2)</f>
        <v>230.64</v>
      </c>
      <c r="E128" s="367"/>
      <c r="F128" s="184">
        <f t="shared" ref="F128:O128" si="41">ROUND(F127/160.33,2)</f>
        <v>230.95</v>
      </c>
      <c r="G128" s="184">
        <f t="shared" si="41"/>
        <v>185.05</v>
      </c>
      <c r="H128" s="184">
        <f t="shared" si="41"/>
        <v>231.16</v>
      </c>
      <c r="I128" s="184">
        <f t="shared" si="41"/>
        <v>185.3</v>
      </c>
      <c r="J128" s="184">
        <f t="shared" si="41"/>
        <v>231.46</v>
      </c>
      <c r="K128" s="184">
        <f t="shared" si="41"/>
        <v>185.47</v>
      </c>
      <c r="L128" s="184">
        <f t="shared" si="41"/>
        <v>231.67</v>
      </c>
      <c r="M128" s="184">
        <f t="shared" si="41"/>
        <v>0</v>
      </c>
      <c r="N128" s="184">
        <f t="shared" si="41"/>
        <v>0</v>
      </c>
      <c r="O128" s="184">
        <f t="shared" si="41"/>
        <v>230</v>
      </c>
    </row>
    <row r="129" spans="1:15">
      <c r="A129" s="1691">
        <v>42</v>
      </c>
      <c r="B129" s="190" t="s">
        <v>93</v>
      </c>
      <c r="C129" s="186">
        <v>361660</v>
      </c>
      <c r="D129" s="179">
        <f>ROUND((C129*(1+'Løntabel gældende fra'!$D$7%)),0)</f>
        <v>451759</v>
      </c>
      <c r="E129" s="187">
        <v>361660</v>
      </c>
      <c r="F129" s="188">
        <f>ROUND((E129*(1+'Løntabel gældende fra'!$D$7%)),0)</f>
        <v>451759</v>
      </c>
      <c r="G129" s="186">
        <v>361660</v>
      </c>
      <c r="H129" s="179">
        <f>ROUND((G129*(1+'Løntabel gældende fra'!$D$7%)),0)</f>
        <v>451759</v>
      </c>
      <c r="I129" s="187">
        <v>361660</v>
      </c>
      <c r="J129" s="188">
        <f>ROUND((I129*(1+'Løntabel gældende fra'!$D$7%)),0)</f>
        <v>451759</v>
      </c>
      <c r="K129" s="186">
        <v>361660</v>
      </c>
      <c r="L129" s="179">
        <f>ROUND((K129*(1+'Løntabel gældende fra'!$D$7%)),0)</f>
        <v>451759</v>
      </c>
      <c r="M129" s="374"/>
      <c r="N129" s="352">
        <v>361659.2</v>
      </c>
      <c r="O129" s="193">
        <f>ROUND(N129*(1+'Løntabel gældende fra'!$D$7%),2)</f>
        <v>451757.91</v>
      </c>
    </row>
    <row r="130" spans="1:15">
      <c r="A130" s="1689"/>
      <c r="B130" s="358" t="s">
        <v>196</v>
      </c>
      <c r="C130" s="361"/>
      <c r="D130" s="368">
        <f>ROUND(D129/12,2)</f>
        <v>37646.58</v>
      </c>
      <c r="E130" s="365">
        <f>E129/12</f>
        <v>30138.333333333332</v>
      </c>
      <c r="F130" s="350">
        <f>ROUND(F129/12,2)</f>
        <v>37646.58</v>
      </c>
      <c r="G130" s="361">
        <f>G129/12</f>
        <v>30138.333333333332</v>
      </c>
      <c r="H130" s="368">
        <f>ROUND(H129/12,2)</f>
        <v>37646.58</v>
      </c>
      <c r="I130" s="365">
        <f>I129/12</f>
        <v>30138.333333333332</v>
      </c>
      <c r="J130" s="350">
        <f>ROUND(J129/12,2)</f>
        <v>37646.58</v>
      </c>
      <c r="K130" s="361">
        <f>K129/12</f>
        <v>30138.333333333332</v>
      </c>
      <c r="L130" s="368">
        <f>ROUND(L129/12,2)</f>
        <v>37646.58</v>
      </c>
      <c r="M130" s="373"/>
      <c r="N130" s="351"/>
      <c r="O130" s="353">
        <f>ROUND(O129/12,2)</f>
        <v>37646.49</v>
      </c>
    </row>
    <row r="131" spans="1:15" ht="15.75" thickBot="1">
      <c r="A131" s="1690"/>
      <c r="B131" s="359" t="s">
        <v>191</v>
      </c>
      <c r="C131" s="183">
        <f>C129/12</f>
        <v>30138.333333333332</v>
      </c>
      <c r="D131" s="184">
        <f>ROUND(D130/160.33,2)</f>
        <v>234.81</v>
      </c>
      <c r="E131" s="366"/>
      <c r="F131" s="184">
        <f t="shared" ref="F131:O131" si="42">ROUND(F130/160.33,2)</f>
        <v>234.81</v>
      </c>
      <c r="G131" s="184">
        <f t="shared" si="42"/>
        <v>187.98</v>
      </c>
      <c r="H131" s="184">
        <f t="shared" si="42"/>
        <v>234.81</v>
      </c>
      <c r="I131" s="184">
        <f t="shared" si="42"/>
        <v>187.98</v>
      </c>
      <c r="J131" s="184">
        <f t="shared" si="42"/>
        <v>234.81</v>
      </c>
      <c r="K131" s="184">
        <f t="shared" si="42"/>
        <v>187.98</v>
      </c>
      <c r="L131" s="184">
        <f t="shared" si="42"/>
        <v>234.81</v>
      </c>
      <c r="M131" s="184">
        <f t="shared" si="42"/>
        <v>0</v>
      </c>
      <c r="N131" s="184">
        <f t="shared" si="42"/>
        <v>0</v>
      </c>
      <c r="O131" s="184">
        <f t="shared" si="42"/>
        <v>234.81</v>
      </c>
    </row>
    <row r="132" spans="1:15">
      <c r="A132" s="1688">
        <v>43</v>
      </c>
      <c r="B132" s="189" t="s">
        <v>93</v>
      </c>
      <c r="C132" s="178">
        <v>369689</v>
      </c>
      <c r="D132" s="182">
        <f>ROUND((C132*(1+'Løntabel gældende fra'!$D$7%)),0)</f>
        <v>461788</v>
      </c>
      <c r="E132" s="180">
        <v>369689</v>
      </c>
      <c r="F132" s="181">
        <f>ROUND((E132*(1+'Løntabel gældende fra'!$D$7%)),0)</f>
        <v>461788</v>
      </c>
      <c r="G132" s="178">
        <v>369689</v>
      </c>
      <c r="H132" s="182">
        <f>ROUND((G132*(1+'Løntabel gældende fra'!$D$7%)),0)</f>
        <v>461788</v>
      </c>
      <c r="I132" s="180">
        <v>369689</v>
      </c>
      <c r="J132" s="181">
        <f>ROUND((I132*(1+'Løntabel gældende fra'!$D$7%)),0)</f>
        <v>461788</v>
      </c>
      <c r="K132" s="178">
        <v>369689</v>
      </c>
      <c r="L132" s="182">
        <f>ROUND((K132*(1+'Løntabel gældende fra'!$D$7%)),0)</f>
        <v>461788</v>
      </c>
      <c r="M132" s="375"/>
      <c r="N132" s="354">
        <v>369688.53</v>
      </c>
      <c r="O132" s="355">
        <f>ROUND(N132*(1+'Løntabel gældende fra'!$D$7%),2)</f>
        <v>461787.55</v>
      </c>
    </row>
    <row r="133" spans="1:15">
      <c r="A133" s="1689"/>
      <c r="B133" s="358" t="s">
        <v>196</v>
      </c>
      <c r="C133" s="361"/>
      <c r="D133" s="368">
        <f>ROUND(D132/12,2)</f>
        <v>38482.33</v>
      </c>
      <c r="E133" s="365">
        <f>E132/12</f>
        <v>30807.416666666668</v>
      </c>
      <c r="F133" s="350">
        <f>ROUND(F132/12,2)</f>
        <v>38482.33</v>
      </c>
      <c r="G133" s="361">
        <f>G132/12</f>
        <v>30807.416666666668</v>
      </c>
      <c r="H133" s="368">
        <f>ROUND(H132/12,2)</f>
        <v>38482.33</v>
      </c>
      <c r="I133" s="365">
        <f>I132/12</f>
        <v>30807.416666666668</v>
      </c>
      <c r="J133" s="350">
        <f>ROUND(J132/12,2)</f>
        <v>38482.33</v>
      </c>
      <c r="K133" s="361">
        <f>K132/12</f>
        <v>30807.416666666668</v>
      </c>
      <c r="L133" s="368">
        <f>ROUND(L132/12,2)</f>
        <v>38482.33</v>
      </c>
      <c r="M133" s="373"/>
      <c r="N133" s="351"/>
      <c r="O133" s="353">
        <f>ROUND(O132/12,2)</f>
        <v>38482.300000000003</v>
      </c>
    </row>
    <row r="134" spans="1:15" ht="15.75" thickBot="1">
      <c r="A134" s="1692"/>
      <c r="B134" s="360" t="s">
        <v>191</v>
      </c>
      <c r="C134" s="364">
        <f>C132/12</f>
        <v>30807.416666666668</v>
      </c>
      <c r="D134" s="184">
        <f>ROUND(D133/160.33,2)</f>
        <v>240.02</v>
      </c>
      <c r="E134" s="367"/>
      <c r="F134" s="184">
        <f t="shared" ref="F134:O134" si="43">ROUND(F133/160.33,2)</f>
        <v>240.02</v>
      </c>
      <c r="G134" s="184">
        <f t="shared" si="43"/>
        <v>192.15</v>
      </c>
      <c r="H134" s="184">
        <f t="shared" si="43"/>
        <v>240.02</v>
      </c>
      <c r="I134" s="184">
        <f t="shared" si="43"/>
        <v>192.15</v>
      </c>
      <c r="J134" s="184">
        <f t="shared" si="43"/>
        <v>240.02</v>
      </c>
      <c r="K134" s="184">
        <f t="shared" si="43"/>
        <v>192.15</v>
      </c>
      <c r="L134" s="184">
        <f t="shared" si="43"/>
        <v>240.02</v>
      </c>
      <c r="M134" s="184">
        <f t="shared" si="43"/>
        <v>0</v>
      </c>
      <c r="N134" s="184">
        <f t="shared" si="43"/>
        <v>0</v>
      </c>
      <c r="O134" s="184">
        <f t="shared" si="43"/>
        <v>240.02</v>
      </c>
    </row>
    <row r="135" spans="1:15">
      <c r="A135" s="1691">
        <v>44</v>
      </c>
      <c r="B135" s="190" t="s">
        <v>93</v>
      </c>
      <c r="C135" s="186">
        <v>377937</v>
      </c>
      <c r="D135" s="179">
        <f>ROUND((C135*(1+'Løntabel gældende fra'!$D$7%)),0)</f>
        <v>472091</v>
      </c>
      <c r="E135" s="187">
        <v>377937</v>
      </c>
      <c r="F135" s="188">
        <f>ROUND((E135*(1+'Løntabel gældende fra'!$D$7%)),0)</f>
        <v>472091</v>
      </c>
      <c r="G135" s="186">
        <v>377937</v>
      </c>
      <c r="H135" s="179">
        <f>ROUND((G135*(1+'Løntabel gældende fra'!$D$7%)),0)</f>
        <v>472091</v>
      </c>
      <c r="I135" s="187">
        <v>377937</v>
      </c>
      <c r="J135" s="188">
        <f>ROUND((I135*(1+'Løntabel gældende fra'!$D$7%)),0)</f>
        <v>472091</v>
      </c>
      <c r="K135" s="186">
        <v>377937</v>
      </c>
      <c r="L135" s="179">
        <f>ROUND((K135*(1+'Løntabel gældende fra'!$D$7%)),0)</f>
        <v>472091</v>
      </c>
      <c r="M135" s="374"/>
      <c r="N135" s="352">
        <v>377937.3</v>
      </c>
      <c r="O135" s="193">
        <f>ROUND(N135*(1+'Løntabel gældende fra'!$D$7%),2)</f>
        <v>472091.31</v>
      </c>
    </row>
    <row r="136" spans="1:15">
      <c r="A136" s="1689"/>
      <c r="B136" s="358" t="s">
        <v>196</v>
      </c>
      <c r="C136" s="361"/>
      <c r="D136" s="368">
        <f>ROUND(D135/12,2)</f>
        <v>39340.92</v>
      </c>
      <c r="E136" s="365">
        <f>E135/12</f>
        <v>31494.75</v>
      </c>
      <c r="F136" s="350">
        <f>ROUND(F135/12,2)</f>
        <v>39340.92</v>
      </c>
      <c r="G136" s="361">
        <f>G135/12</f>
        <v>31494.75</v>
      </c>
      <c r="H136" s="368">
        <f>ROUND(H135/12,2)</f>
        <v>39340.92</v>
      </c>
      <c r="I136" s="365">
        <f>I135/12</f>
        <v>31494.75</v>
      </c>
      <c r="J136" s="350">
        <f>ROUND(J135/12,2)</f>
        <v>39340.92</v>
      </c>
      <c r="K136" s="361">
        <f>K135/12</f>
        <v>31494.75</v>
      </c>
      <c r="L136" s="368">
        <f>ROUND(L135/12,2)</f>
        <v>39340.92</v>
      </c>
      <c r="M136" s="373"/>
      <c r="N136" s="351"/>
      <c r="O136" s="353">
        <f>ROUND(O135/12,2)</f>
        <v>39340.94</v>
      </c>
    </row>
    <row r="137" spans="1:15" ht="15.75" thickBot="1">
      <c r="A137" s="1690"/>
      <c r="B137" s="359" t="s">
        <v>191</v>
      </c>
      <c r="C137" s="183">
        <f>C135/12</f>
        <v>31494.75</v>
      </c>
      <c r="D137" s="184">
        <f>ROUND(D136/160.33,2)</f>
        <v>245.37</v>
      </c>
      <c r="E137" s="366"/>
      <c r="F137" s="184">
        <f t="shared" ref="F137:O137" si="44">ROUND(F136/160.33,2)</f>
        <v>245.37</v>
      </c>
      <c r="G137" s="184">
        <f t="shared" si="44"/>
        <v>196.44</v>
      </c>
      <c r="H137" s="184">
        <f t="shared" si="44"/>
        <v>245.37</v>
      </c>
      <c r="I137" s="184">
        <f t="shared" si="44"/>
        <v>196.44</v>
      </c>
      <c r="J137" s="184">
        <f t="shared" si="44"/>
        <v>245.37</v>
      </c>
      <c r="K137" s="184">
        <f t="shared" si="44"/>
        <v>196.44</v>
      </c>
      <c r="L137" s="184">
        <f t="shared" si="44"/>
        <v>245.37</v>
      </c>
      <c r="M137" s="184">
        <f t="shared" si="44"/>
        <v>0</v>
      </c>
      <c r="N137" s="184">
        <f t="shared" si="44"/>
        <v>0</v>
      </c>
      <c r="O137" s="184">
        <f t="shared" si="44"/>
        <v>245.37</v>
      </c>
    </row>
    <row r="138" spans="1:15">
      <c r="A138" s="1691">
        <v>45</v>
      </c>
      <c r="B138" s="190" t="s">
        <v>93</v>
      </c>
      <c r="C138" s="186">
        <v>386414</v>
      </c>
      <c r="D138" s="179">
        <f>ROUND((C138*(1+'Løntabel gældende fra'!$D$7%)),0)</f>
        <v>482680</v>
      </c>
      <c r="E138" s="187">
        <v>386414</v>
      </c>
      <c r="F138" s="188">
        <f>ROUND((E138*(1+'Løntabel gældende fra'!$D$7%)),0)</f>
        <v>482680</v>
      </c>
      <c r="G138" s="186">
        <v>386414</v>
      </c>
      <c r="H138" s="179">
        <f>ROUND((G138*(1+'Løntabel gældende fra'!$D$7%)),0)</f>
        <v>482680</v>
      </c>
      <c r="I138" s="187">
        <v>386414</v>
      </c>
      <c r="J138" s="188">
        <f>ROUND((I138*(1+'Løntabel gældende fra'!$D$7%)),0)</f>
        <v>482680</v>
      </c>
      <c r="K138" s="186">
        <v>386414</v>
      </c>
      <c r="L138" s="179">
        <f>ROUND((K138*(1+'Løntabel gældende fra'!$D$7%)),0)</f>
        <v>482680</v>
      </c>
      <c r="M138" s="374"/>
      <c r="N138" s="352">
        <v>386414.29</v>
      </c>
      <c r="O138" s="193">
        <f>ROUND(N138*(1+'Løntabel gældende fra'!$D$7%),2)</f>
        <v>482680.14</v>
      </c>
    </row>
    <row r="139" spans="1:15">
      <c r="A139" s="1689"/>
      <c r="B139" s="358" t="s">
        <v>196</v>
      </c>
      <c r="C139" s="361"/>
      <c r="D139" s="368">
        <f>ROUND(D138/12,2)</f>
        <v>40223.33</v>
      </c>
      <c r="E139" s="365">
        <f>E138/12</f>
        <v>32201.166666666668</v>
      </c>
      <c r="F139" s="350">
        <f>ROUND(F138/12,2)</f>
        <v>40223.33</v>
      </c>
      <c r="G139" s="361">
        <f>G138/12</f>
        <v>32201.166666666668</v>
      </c>
      <c r="H139" s="368">
        <f>ROUND(H138/12,2)</f>
        <v>40223.33</v>
      </c>
      <c r="I139" s="365">
        <f>I138/12</f>
        <v>32201.166666666668</v>
      </c>
      <c r="J139" s="350">
        <f>ROUND(J138/12,2)</f>
        <v>40223.33</v>
      </c>
      <c r="K139" s="361">
        <f>K138/12</f>
        <v>32201.166666666668</v>
      </c>
      <c r="L139" s="368">
        <f>ROUND(L138/12,2)</f>
        <v>40223.33</v>
      </c>
      <c r="M139" s="373"/>
      <c r="N139" s="351"/>
      <c r="O139" s="353">
        <f>ROUND(O138/12,2)</f>
        <v>40223.35</v>
      </c>
    </row>
    <row r="140" spans="1:15" ht="15.75" thickBot="1">
      <c r="A140" s="1690"/>
      <c r="B140" s="359" t="s">
        <v>191</v>
      </c>
      <c r="C140" s="183">
        <f>C138/12</f>
        <v>32201.166666666668</v>
      </c>
      <c r="D140" s="184">
        <f>ROUND(D139/160.33,2)</f>
        <v>250.88</v>
      </c>
      <c r="E140" s="366"/>
      <c r="F140" s="184">
        <f t="shared" ref="F140:O140" si="45">ROUND(F139/160.33,2)</f>
        <v>250.88</v>
      </c>
      <c r="G140" s="184">
        <f t="shared" si="45"/>
        <v>200.84</v>
      </c>
      <c r="H140" s="184">
        <f t="shared" si="45"/>
        <v>250.88</v>
      </c>
      <c r="I140" s="184">
        <f t="shared" si="45"/>
        <v>200.84</v>
      </c>
      <c r="J140" s="184">
        <f t="shared" si="45"/>
        <v>250.88</v>
      </c>
      <c r="K140" s="184">
        <f t="shared" si="45"/>
        <v>200.84</v>
      </c>
      <c r="L140" s="184">
        <f t="shared" si="45"/>
        <v>250.88</v>
      </c>
      <c r="M140" s="184">
        <f t="shared" si="45"/>
        <v>0</v>
      </c>
      <c r="N140" s="184">
        <f t="shared" si="45"/>
        <v>0</v>
      </c>
      <c r="O140" s="184">
        <f t="shared" si="45"/>
        <v>250.88</v>
      </c>
    </row>
    <row r="141" spans="1:15">
      <c r="A141" s="1691">
        <v>46</v>
      </c>
      <c r="B141" s="190" t="s">
        <v>93</v>
      </c>
      <c r="C141" s="186">
        <v>395125</v>
      </c>
      <c r="D141" s="179">
        <f>ROUND((C141*(1+'Løntabel gældende fra'!$D$7%)),0)</f>
        <v>493561</v>
      </c>
      <c r="E141" s="187">
        <v>395125</v>
      </c>
      <c r="F141" s="188">
        <f>ROUND((E141*(1+'Løntabel gældende fra'!$D$7%)),0)</f>
        <v>493561</v>
      </c>
      <c r="G141" s="186">
        <v>395125</v>
      </c>
      <c r="H141" s="179">
        <f>ROUND((G141*(1+'Løntabel gældende fra'!$D$7%)),0)</f>
        <v>493561</v>
      </c>
      <c r="I141" s="187">
        <v>395125</v>
      </c>
      <c r="J141" s="188">
        <f>ROUND((I141*(1+'Løntabel gældende fra'!$D$7%)),0)</f>
        <v>493561</v>
      </c>
      <c r="K141" s="186">
        <v>395125</v>
      </c>
      <c r="L141" s="179">
        <f>ROUND((K141*(1+'Løntabel gældende fra'!$D$7%)),0)</f>
        <v>493561</v>
      </c>
      <c r="M141" s="374"/>
      <c r="N141" s="352">
        <v>395124.74</v>
      </c>
      <c r="O141" s="193">
        <f>ROUND(N141*(1+'Løntabel gældende fra'!$D$7%),2)</f>
        <v>493560.59</v>
      </c>
    </row>
    <row r="142" spans="1:15">
      <c r="A142" s="1689"/>
      <c r="B142" s="358" t="s">
        <v>94</v>
      </c>
      <c r="C142" s="361"/>
      <c r="D142" s="368">
        <f>ROUND(D141/12,2)</f>
        <v>41130.080000000002</v>
      </c>
      <c r="E142" s="365">
        <f>E141/12</f>
        <v>32927.083333333336</v>
      </c>
      <c r="F142" s="350">
        <f>ROUND(F141/12,2)</f>
        <v>41130.080000000002</v>
      </c>
      <c r="G142" s="361">
        <f>G141/12</f>
        <v>32927.083333333336</v>
      </c>
      <c r="H142" s="368">
        <f>ROUND(H141/12,2)</f>
        <v>41130.080000000002</v>
      </c>
      <c r="I142" s="365">
        <f>I141/12</f>
        <v>32927.083333333336</v>
      </c>
      <c r="J142" s="350">
        <f>ROUND(J141/12,2)</f>
        <v>41130.080000000002</v>
      </c>
      <c r="K142" s="361">
        <f>K141/12</f>
        <v>32927.083333333336</v>
      </c>
      <c r="L142" s="368">
        <f>ROUND(L141/12,2)</f>
        <v>41130.080000000002</v>
      </c>
      <c r="M142" s="373"/>
      <c r="N142" s="351"/>
      <c r="O142" s="353">
        <f>ROUND(O141/12,2)</f>
        <v>41130.050000000003</v>
      </c>
    </row>
    <row r="143" spans="1:15" ht="15.75" thickBot="1">
      <c r="A143" s="1690"/>
      <c r="B143" s="359" t="s">
        <v>191</v>
      </c>
      <c r="C143" s="183">
        <f>C141/12</f>
        <v>32927.083333333336</v>
      </c>
      <c r="D143" s="184">
        <f>ROUND(D142/160.33,2)</f>
        <v>256.52999999999997</v>
      </c>
      <c r="E143" s="366"/>
      <c r="F143" s="184">
        <f t="shared" ref="F143:O143" si="46">ROUND(F142/160.33,2)</f>
        <v>256.52999999999997</v>
      </c>
      <c r="G143" s="184">
        <f t="shared" si="46"/>
        <v>205.37</v>
      </c>
      <c r="H143" s="184">
        <f t="shared" si="46"/>
        <v>256.52999999999997</v>
      </c>
      <c r="I143" s="184">
        <f t="shared" si="46"/>
        <v>205.37</v>
      </c>
      <c r="J143" s="184">
        <f t="shared" si="46"/>
        <v>256.52999999999997</v>
      </c>
      <c r="K143" s="184">
        <f t="shared" si="46"/>
        <v>205.37</v>
      </c>
      <c r="L143" s="184">
        <f t="shared" si="46"/>
        <v>256.52999999999997</v>
      </c>
      <c r="M143" s="184">
        <f t="shared" si="46"/>
        <v>0</v>
      </c>
      <c r="N143" s="184">
        <f t="shared" si="46"/>
        <v>0</v>
      </c>
      <c r="O143" s="184">
        <f t="shared" si="46"/>
        <v>256.52999999999997</v>
      </c>
    </row>
    <row r="144" spans="1:15">
      <c r="A144" s="1688">
        <v>47</v>
      </c>
      <c r="B144" s="189" t="s">
        <v>93</v>
      </c>
      <c r="C144" s="178">
        <v>413269</v>
      </c>
      <c r="D144" s="182">
        <f>ROUND((C144*(1+'Løntabel gældende fra'!$D$7%)),0)</f>
        <v>516225</v>
      </c>
      <c r="E144" s="180">
        <v>413269</v>
      </c>
      <c r="F144" s="181">
        <f>ROUND((E144*(1+'Løntabel gældende fra'!$D$7%)),0)</f>
        <v>516225</v>
      </c>
      <c r="G144" s="178">
        <v>413269</v>
      </c>
      <c r="H144" s="182">
        <f>ROUND((G144*(1+'Løntabel gældende fra'!$D$7%)),0)</f>
        <v>516225</v>
      </c>
      <c r="I144" s="180">
        <v>413269</v>
      </c>
      <c r="J144" s="181">
        <f>ROUND((I144*(1+'Løntabel gældende fra'!$D$7%)),0)</f>
        <v>516225</v>
      </c>
      <c r="K144" s="178">
        <v>413269</v>
      </c>
      <c r="L144" s="182">
        <f>ROUND((K144*(1+'Løntabel gældende fra'!$D$7%)),0)</f>
        <v>516225</v>
      </c>
      <c r="M144" s="375"/>
      <c r="N144" s="354">
        <v>413268.87</v>
      </c>
      <c r="O144" s="355">
        <f>ROUND(N144*(1+'Løntabel gældende fra'!$D$7%),2)</f>
        <v>516224.89</v>
      </c>
    </row>
    <row r="145" spans="1:15">
      <c r="A145" s="1689"/>
      <c r="B145" s="358" t="s">
        <v>196</v>
      </c>
      <c r="C145" s="361"/>
      <c r="D145" s="368">
        <f>ROUND(D144/12,2)</f>
        <v>43018.75</v>
      </c>
      <c r="E145" s="365">
        <f>E144/12</f>
        <v>34439.083333333336</v>
      </c>
      <c r="F145" s="350">
        <f>ROUND(F144/12,2)</f>
        <v>43018.75</v>
      </c>
      <c r="G145" s="361">
        <f>G144/12</f>
        <v>34439.083333333336</v>
      </c>
      <c r="H145" s="368">
        <f>ROUND(H144/12,2)</f>
        <v>43018.75</v>
      </c>
      <c r="I145" s="365">
        <f>I144/12</f>
        <v>34439.083333333336</v>
      </c>
      <c r="J145" s="350">
        <f>ROUND(J144/12,2)</f>
        <v>43018.75</v>
      </c>
      <c r="K145" s="361">
        <f>K144/12</f>
        <v>34439.083333333336</v>
      </c>
      <c r="L145" s="368">
        <f>ROUND(L144/12,2)</f>
        <v>43018.75</v>
      </c>
      <c r="M145" s="373"/>
      <c r="N145" s="351"/>
      <c r="O145" s="353">
        <f>ROUND(O144/12,2)</f>
        <v>43018.74</v>
      </c>
    </row>
    <row r="146" spans="1:15" ht="15.75" thickBot="1">
      <c r="A146" s="1692"/>
      <c r="B146" s="360" t="s">
        <v>191</v>
      </c>
      <c r="C146" s="364">
        <f>C144/12</f>
        <v>34439.083333333336</v>
      </c>
      <c r="D146" s="184">
        <f>ROUND(D145/160.33,2)</f>
        <v>268.31</v>
      </c>
      <c r="E146" s="367"/>
      <c r="F146" s="184">
        <f t="shared" ref="F146:O146" si="47">ROUND(F145/160.33,2)</f>
        <v>268.31</v>
      </c>
      <c r="G146" s="184">
        <f t="shared" si="47"/>
        <v>214.8</v>
      </c>
      <c r="H146" s="184">
        <f t="shared" si="47"/>
        <v>268.31</v>
      </c>
      <c r="I146" s="184">
        <f t="shared" si="47"/>
        <v>214.8</v>
      </c>
      <c r="J146" s="184">
        <f t="shared" si="47"/>
        <v>268.31</v>
      </c>
      <c r="K146" s="184">
        <f t="shared" si="47"/>
        <v>214.8</v>
      </c>
      <c r="L146" s="184">
        <f t="shared" si="47"/>
        <v>268.31</v>
      </c>
      <c r="M146" s="184">
        <f t="shared" si="47"/>
        <v>0</v>
      </c>
      <c r="N146" s="184">
        <f t="shared" si="47"/>
        <v>0</v>
      </c>
      <c r="O146" s="184">
        <f t="shared" si="47"/>
        <v>268.31</v>
      </c>
    </row>
    <row r="147" spans="1:15">
      <c r="A147" s="1691">
        <v>48</v>
      </c>
      <c r="B147" s="190" t="s">
        <v>93</v>
      </c>
      <c r="C147" s="186">
        <v>441027</v>
      </c>
      <c r="D147" s="179">
        <f>ROUND((C147*(1+'Løntabel gældende fra'!$D$7%)),0)</f>
        <v>550898</v>
      </c>
      <c r="E147" s="187">
        <v>441027</v>
      </c>
      <c r="F147" s="188">
        <f>ROUND((E147*(1+'Løntabel gældende fra'!$D$7%)),0)</f>
        <v>550898</v>
      </c>
      <c r="G147" s="186">
        <v>441027</v>
      </c>
      <c r="H147" s="179">
        <f>ROUND((G147*(1+'Løntabel gældende fra'!$D$7%)),0)</f>
        <v>550898</v>
      </c>
      <c r="I147" s="187">
        <v>441027</v>
      </c>
      <c r="J147" s="188">
        <f>ROUND((I147*(1+'Løntabel gældende fra'!$D$7%)),0)</f>
        <v>550898</v>
      </c>
      <c r="K147" s="186">
        <v>441027</v>
      </c>
      <c r="L147" s="179">
        <f>ROUND((K147*(1+'Løntabel gældende fra'!$D$7%)),0)</f>
        <v>550898</v>
      </c>
      <c r="M147" s="374"/>
      <c r="N147" s="352">
        <v>441025.75</v>
      </c>
      <c r="O147" s="193">
        <f>ROUND(N147*(1+'Løntabel gældende fra'!$D$7%),2)</f>
        <v>550896.73</v>
      </c>
    </row>
    <row r="148" spans="1:15">
      <c r="A148" s="1689"/>
      <c r="B148" s="358" t="s">
        <v>196</v>
      </c>
      <c r="C148" s="361"/>
      <c r="D148" s="368">
        <f>ROUND(D147/12,2)</f>
        <v>45908.17</v>
      </c>
      <c r="E148" s="365">
        <f>E147/12</f>
        <v>36752.25</v>
      </c>
      <c r="F148" s="350">
        <f>ROUND(F147/12,2)</f>
        <v>45908.17</v>
      </c>
      <c r="G148" s="361">
        <f>G147/12</f>
        <v>36752.25</v>
      </c>
      <c r="H148" s="368">
        <f>ROUND(H147/12,2)</f>
        <v>45908.17</v>
      </c>
      <c r="I148" s="365">
        <f>I147/12</f>
        <v>36752.25</v>
      </c>
      <c r="J148" s="350">
        <f>ROUND(J147/12,2)</f>
        <v>45908.17</v>
      </c>
      <c r="K148" s="361">
        <f>K147/12</f>
        <v>36752.25</v>
      </c>
      <c r="L148" s="368">
        <f>ROUND(L147/12,2)</f>
        <v>45908.17</v>
      </c>
      <c r="M148" s="373"/>
      <c r="N148" s="351"/>
      <c r="O148" s="353">
        <f>ROUND(O147/12,2)</f>
        <v>45908.06</v>
      </c>
    </row>
    <row r="149" spans="1:15" ht="15.75" thickBot="1">
      <c r="A149" s="1690"/>
      <c r="B149" s="359" t="s">
        <v>191</v>
      </c>
      <c r="C149" s="183">
        <f>C147/12</f>
        <v>36752.25</v>
      </c>
      <c r="D149" s="184">
        <f>ROUND(D148/160.33,2)</f>
        <v>286.33999999999997</v>
      </c>
      <c r="E149" s="366"/>
      <c r="F149" s="184">
        <f t="shared" ref="F149:O149" si="48">ROUND(F148/160.33,2)</f>
        <v>286.33999999999997</v>
      </c>
      <c r="G149" s="184">
        <f t="shared" si="48"/>
        <v>229.23</v>
      </c>
      <c r="H149" s="184">
        <f t="shared" si="48"/>
        <v>286.33999999999997</v>
      </c>
      <c r="I149" s="184">
        <f t="shared" si="48"/>
        <v>229.23</v>
      </c>
      <c r="J149" s="184">
        <f t="shared" si="48"/>
        <v>286.33999999999997</v>
      </c>
      <c r="K149" s="184">
        <f t="shared" si="48"/>
        <v>229.23</v>
      </c>
      <c r="L149" s="184">
        <f t="shared" si="48"/>
        <v>286.33999999999997</v>
      </c>
      <c r="M149" s="184">
        <f t="shared" si="48"/>
        <v>0</v>
      </c>
      <c r="N149" s="184">
        <f t="shared" si="48"/>
        <v>0</v>
      </c>
      <c r="O149" s="184">
        <f t="shared" si="48"/>
        <v>286.33</v>
      </c>
    </row>
    <row r="150" spans="1:15">
      <c r="A150" s="1688">
        <v>49</v>
      </c>
      <c r="B150" s="189" t="s">
        <v>93</v>
      </c>
      <c r="C150" s="178">
        <v>471781</v>
      </c>
      <c r="D150" s="182">
        <f>ROUND((C150*(1+'Løntabel gældende fra'!$D$7%)),0)</f>
        <v>589314</v>
      </c>
      <c r="E150" s="180">
        <v>471781</v>
      </c>
      <c r="F150" s="181">
        <f>ROUND((E150*(1+'Løntabel gældende fra'!$D$7%)),0)</f>
        <v>589314</v>
      </c>
      <c r="G150" s="178">
        <v>471781</v>
      </c>
      <c r="H150" s="182">
        <f>ROUND((G150*(1+'Løntabel gældende fra'!$D$7%)),0)</f>
        <v>589314</v>
      </c>
      <c r="I150" s="180">
        <v>471781</v>
      </c>
      <c r="J150" s="181">
        <f>ROUND((I150*(1+'Løntabel gældende fra'!$D$7%)),0)</f>
        <v>589314</v>
      </c>
      <c r="K150" s="178">
        <v>471781</v>
      </c>
      <c r="L150" s="182">
        <f>ROUND((K150*(1+'Løntabel gældende fra'!$D$7%)),0)</f>
        <v>589314</v>
      </c>
      <c r="M150" s="375"/>
      <c r="N150" s="354">
        <v>471780.9</v>
      </c>
      <c r="O150" s="355">
        <f>ROUND(N150*(1+'Løntabel gældende fra'!$D$7%),2)</f>
        <v>589313.79</v>
      </c>
    </row>
    <row r="151" spans="1:15">
      <c r="A151" s="1689"/>
      <c r="B151" s="358" t="s">
        <v>196</v>
      </c>
      <c r="C151" s="361"/>
      <c r="D151" s="368">
        <f>ROUND(D150/12,2)</f>
        <v>49109.5</v>
      </c>
      <c r="E151" s="365">
        <f>E150/12</f>
        <v>39315.083333333336</v>
      </c>
      <c r="F151" s="350">
        <f>ROUND(F150/12,2)</f>
        <v>49109.5</v>
      </c>
      <c r="G151" s="361">
        <f>G150/12</f>
        <v>39315.083333333336</v>
      </c>
      <c r="H151" s="368">
        <f>ROUND(H150/12,2)</f>
        <v>49109.5</v>
      </c>
      <c r="I151" s="365">
        <f>I150/12</f>
        <v>39315.083333333336</v>
      </c>
      <c r="J151" s="350">
        <f>ROUND(J150/12,2)</f>
        <v>49109.5</v>
      </c>
      <c r="K151" s="361">
        <f>K150/12</f>
        <v>39315.083333333336</v>
      </c>
      <c r="L151" s="368">
        <f>ROUND(L150/12,2)</f>
        <v>49109.5</v>
      </c>
      <c r="M151" s="373"/>
      <c r="N151" s="351"/>
      <c r="O151" s="353">
        <f>ROUND(O150/12,2)</f>
        <v>49109.48</v>
      </c>
    </row>
    <row r="152" spans="1:15" ht="15.75" thickBot="1">
      <c r="A152" s="1692"/>
      <c r="B152" s="360" t="s">
        <v>191</v>
      </c>
      <c r="C152" s="364">
        <f>C150/12</f>
        <v>39315.083333333336</v>
      </c>
      <c r="D152" s="184">
        <f>ROUND(D151/160.33,2)</f>
        <v>306.3</v>
      </c>
      <c r="E152" s="367"/>
      <c r="F152" s="184">
        <f t="shared" ref="F152:O152" si="49">ROUND(F151/160.33,2)</f>
        <v>306.3</v>
      </c>
      <c r="G152" s="184">
        <f t="shared" si="49"/>
        <v>245.21</v>
      </c>
      <c r="H152" s="184">
        <f t="shared" si="49"/>
        <v>306.3</v>
      </c>
      <c r="I152" s="184">
        <f t="shared" si="49"/>
        <v>245.21</v>
      </c>
      <c r="J152" s="184">
        <f t="shared" si="49"/>
        <v>306.3</v>
      </c>
      <c r="K152" s="184">
        <f t="shared" si="49"/>
        <v>245.21</v>
      </c>
      <c r="L152" s="184">
        <f t="shared" si="49"/>
        <v>306.3</v>
      </c>
      <c r="M152" s="184">
        <f t="shared" si="49"/>
        <v>0</v>
      </c>
      <c r="N152" s="184">
        <f t="shared" si="49"/>
        <v>0</v>
      </c>
      <c r="O152" s="184">
        <f t="shared" si="49"/>
        <v>306.3</v>
      </c>
    </row>
    <row r="153" spans="1:15">
      <c r="A153" s="1691">
        <v>50</v>
      </c>
      <c r="B153" s="190" t="s">
        <v>93</v>
      </c>
      <c r="C153" s="186">
        <v>521094</v>
      </c>
      <c r="D153" s="179">
        <f>ROUND((C153*(1+'Løntabel gældende fra'!$D$7%)),0)</f>
        <v>650912</v>
      </c>
      <c r="E153" s="187">
        <v>521094</v>
      </c>
      <c r="F153" s="188">
        <f>ROUND((E153*(1+'Løntabel gældende fra'!$D$7%)),0)</f>
        <v>650912</v>
      </c>
      <c r="G153" s="370">
        <v>521094</v>
      </c>
      <c r="H153" s="179">
        <f>ROUND((G153*(1+'Løntabel gældende fra'!$D$7%)),0)</f>
        <v>650912</v>
      </c>
      <c r="I153" s="371">
        <v>521094</v>
      </c>
      <c r="J153" s="188">
        <f>ROUND((I153*(1+'Løntabel gældende fra'!$D$7%)),0)</f>
        <v>650912</v>
      </c>
      <c r="K153" s="370">
        <v>521094</v>
      </c>
      <c r="L153" s="179">
        <f>ROUND((K153*(1+'Løntabel gældende fra'!$D$7%)),0)</f>
        <v>650912</v>
      </c>
      <c r="M153" s="374"/>
      <c r="N153" s="352">
        <v>521094.47</v>
      </c>
      <c r="O153" s="193">
        <f>ROUND(N153*(1+'Løntabel gældende fra'!$D$7%),2)</f>
        <v>650912.65</v>
      </c>
    </row>
    <row r="154" spans="1:15">
      <c r="A154" s="1689"/>
      <c r="B154" s="358" t="s">
        <v>196</v>
      </c>
      <c r="C154" s="361"/>
      <c r="D154" s="368">
        <f>ROUND(D153/12,2)</f>
        <v>54242.67</v>
      </c>
      <c r="E154" s="365">
        <f>E153/12</f>
        <v>43424.5</v>
      </c>
      <c r="F154" s="350">
        <f>ROUND(F153/12,2)</f>
        <v>54242.67</v>
      </c>
      <c r="G154" s="361">
        <f>G153/12</f>
        <v>43424.5</v>
      </c>
      <c r="H154" s="368">
        <f>ROUND(H153/12,2)</f>
        <v>54242.67</v>
      </c>
      <c r="I154" s="365">
        <f>I153/12</f>
        <v>43424.5</v>
      </c>
      <c r="J154" s="350">
        <f>ROUND(J153/12,2)</f>
        <v>54242.67</v>
      </c>
      <c r="K154" s="361">
        <f>K153/12</f>
        <v>43424.5</v>
      </c>
      <c r="L154" s="368">
        <f>ROUND(L153/12,2)</f>
        <v>54242.67</v>
      </c>
      <c r="M154" s="373"/>
      <c r="N154" s="351"/>
      <c r="O154" s="353">
        <f>ROUND(O153/12,2)</f>
        <v>54242.720000000001</v>
      </c>
    </row>
    <row r="155" spans="1:15" ht="15.75" thickBot="1">
      <c r="A155" s="1690"/>
      <c r="B155" s="359" t="s">
        <v>191</v>
      </c>
      <c r="C155" s="183">
        <f>C153/12</f>
        <v>43424.5</v>
      </c>
      <c r="D155" s="184">
        <f>ROUND(D154/160.33,2)</f>
        <v>338.32</v>
      </c>
      <c r="E155" s="366"/>
      <c r="F155" s="184">
        <f t="shared" ref="F155:O155" si="50">ROUND(F154/160.33,2)</f>
        <v>338.32</v>
      </c>
      <c r="G155" s="184">
        <f t="shared" si="50"/>
        <v>270.83999999999997</v>
      </c>
      <c r="H155" s="184">
        <f t="shared" si="50"/>
        <v>338.32</v>
      </c>
      <c r="I155" s="184">
        <f t="shared" si="50"/>
        <v>270.83999999999997</v>
      </c>
      <c r="J155" s="184">
        <f t="shared" si="50"/>
        <v>338.32</v>
      </c>
      <c r="K155" s="184">
        <f t="shared" si="50"/>
        <v>270.83999999999997</v>
      </c>
      <c r="L155" s="184">
        <f t="shared" si="50"/>
        <v>338.32</v>
      </c>
      <c r="M155" s="184">
        <f t="shared" si="50"/>
        <v>0</v>
      </c>
      <c r="N155" s="184">
        <f t="shared" si="50"/>
        <v>0</v>
      </c>
      <c r="O155" s="184">
        <f t="shared" si="50"/>
        <v>338.32</v>
      </c>
    </row>
    <row r="156" spans="1:15">
      <c r="A156" s="1688">
        <v>51</v>
      </c>
      <c r="B156" s="189" t="s">
        <v>93</v>
      </c>
      <c r="C156" s="178">
        <v>592911</v>
      </c>
      <c r="D156" s="182">
        <f>ROUND((C156*(1+'Løntabel gældende fra'!$D$7%)),0)</f>
        <v>740621</v>
      </c>
      <c r="E156" s="180">
        <v>592911</v>
      </c>
      <c r="F156" s="181">
        <f>ROUND((E156*(1+'Løntabel gældende fra'!$D$7%)),0)</f>
        <v>740621</v>
      </c>
      <c r="G156" s="191">
        <v>592911</v>
      </c>
      <c r="H156" s="182">
        <f>ROUND((G156*(1+'Løntabel gældende fra'!$D$7%)),0)</f>
        <v>740621</v>
      </c>
      <c r="I156" s="192">
        <v>592911</v>
      </c>
      <c r="J156" s="181">
        <f>ROUND((I156*(1+'Løntabel gældende fra'!$D$7%)),0)</f>
        <v>740621</v>
      </c>
      <c r="K156" s="191">
        <v>592911</v>
      </c>
      <c r="L156" s="182">
        <f>ROUND((K156*(1+'Løntabel gældende fra'!$D$7%)),0)</f>
        <v>740621</v>
      </c>
      <c r="M156" s="375"/>
      <c r="N156" s="354">
        <v>592911.94999999995</v>
      </c>
      <c r="O156" s="355">
        <f>ROUND(N156*(1+'Løntabel gældende fra'!$D$7%),2)</f>
        <v>740621.73</v>
      </c>
    </row>
    <row r="157" spans="1:15">
      <c r="A157" s="1689"/>
      <c r="B157" s="358" t="s">
        <v>94</v>
      </c>
      <c r="C157" s="361"/>
      <c r="D157" s="368">
        <f>ROUND(D156/12,2)</f>
        <v>61718.42</v>
      </c>
      <c r="E157" s="365">
        <f>E156/12</f>
        <v>49409.25</v>
      </c>
      <c r="F157" s="350">
        <f>ROUND(F156/12,2)</f>
        <v>61718.42</v>
      </c>
      <c r="G157" s="361">
        <f>G156/12</f>
        <v>49409.25</v>
      </c>
      <c r="H157" s="368">
        <f>ROUND(H156/12,2)</f>
        <v>61718.42</v>
      </c>
      <c r="I157" s="365">
        <f>I156/12</f>
        <v>49409.25</v>
      </c>
      <c r="J157" s="350">
        <f>ROUND(J156/12,2)</f>
        <v>61718.42</v>
      </c>
      <c r="K157" s="361">
        <f>K156/12</f>
        <v>49409.25</v>
      </c>
      <c r="L157" s="368">
        <f>ROUND(L156/12,2)</f>
        <v>61718.42</v>
      </c>
      <c r="M157" s="373"/>
      <c r="N157" s="351"/>
      <c r="O157" s="353">
        <f>ROUND(O156/12,2)</f>
        <v>61718.48</v>
      </c>
    </row>
    <row r="158" spans="1:15" ht="15.75" thickBot="1">
      <c r="A158" s="1690"/>
      <c r="B158" s="359" t="s">
        <v>191</v>
      </c>
      <c r="C158" s="183">
        <f>C156/12</f>
        <v>49409.25</v>
      </c>
      <c r="D158" s="184">
        <f>ROUND(D157/160.33,2)</f>
        <v>384.95</v>
      </c>
      <c r="E158" s="366"/>
      <c r="F158" s="184">
        <f t="shared" ref="F158:O158" si="51">ROUND(F157/160.33,2)</f>
        <v>384.95</v>
      </c>
      <c r="G158" s="184">
        <f t="shared" si="51"/>
        <v>308.17</v>
      </c>
      <c r="H158" s="184">
        <f t="shared" si="51"/>
        <v>384.95</v>
      </c>
      <c r="I158" s="184">
        <f t="shared" si="51"/>
        <v>308.17</v>
      </c>
      <c r="J158" s="184">
        <f t="shared" si="51"/>
        <v>384.95</v>
      </c>
      <c r="K158" s="184">
        <f t="shared" si="51"/>
        <v>308.17</v>
      </c>
      <c r="L158" s="184">
        <f t="shared" si="51"/>
        <v>384.95</v>
      </c>
      <c r="M158" s="184">
        <f t="shared" si="51"/>
        <v>0</v>
      </c>
      <c r="N158" s="184">
        <f t="shared" si="51"/>
        <v>0</v>
      </c>
      <c r="O158" s="184">
        <f t="shared" si="51"/>
        <v>384.95</v>
      </c>
    </row>
  </sheetData>
  <sheetProtection sheet="1" objects="1" scenarios="1"/>
  <mergeCells count="54">
    <mergeCell ref="A129:A131"/>
    <mergeCell ref="A132:A134"/>
    <mergeCell ref="A150:A152"/>
    <mergeCell ref="A153:A155"/>
    <mergeCell ref="A135:A137"/>
    <mergeCell ref="A138:A140"/>
    <mergeCell ref="A141:A143"/>
    <mergeCell ref="A144:A146"/>
    <mergeCell ref="A147:A149"/>
    <mergeCell ref="A114:A116"/>
    <mergeCell ref="A117:A119"/>
    <mergeCell ref="A120:A122"/>
    <mergeCell ref="A123:A125"/>
    <mergeCell ref="A126:A128"/>
    <mergeCell ref="A99:A101"/>
    <mergeCell ref="A102:A104"/>
    <mergeCell ref="A105:A107"/>
    <mergeCell ref="A108:A110"/>
    <mergeCell ref="A111:A113"/>
    <mergeCell ref="A84:A86"/>
    <mergeCell ref="A87:A89"/>
    <mergeCell ref="A90:A92"/>
    <mergeCell ref="A93:A95"/>
    <mergeCell ref="A96:A98"/>
    <mergeCell ref="A1:O1"/>
    <mergeCell ref="A2:O2"/>
    <mergeCell ref="A75:A77"/>
    <mergeCell ref="A78:A80"/>
    <mergeCell ref="A6:A8"/>
    <mergeCell ref="A3:O4"/>
    <mergeCell ref="A21:A23"/>
    <mergeCell ref="A24:A26"/>
    <mergeCell ref="A27:A29"/>
    <mergeCell ref="A9:A11"/>
    <mergeCell ref="A12:A14"/>
    <mergeCell ref="A15:A17"/>
    <mergeCell ref="A18:A20"/>
    <mergeCell ref="A72:A74"/>
    <mergeCell ref="A156:A158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81:A83"/>
  </mergeCells>
  <phoneticPr fontId="7" type="noConversion"/>
  <pageMargins left="0.47244094488188981" right="0.47244094488188981" top="0.74803149606299213" bottom="0.74803149606299213" header="0.31496062992125984" footer="0.31496062992125984"/>
  <pageSetup paperSize="9" scale="91" fitToHeight="4" orientation="portrait" r:id="rId1"/>
  <headerFooter>
    <oddFooter>&amp;C&amp;"Times New Roman,Normal"&amp;8&amp;K000000Statens takster&amp;R&amp;"Times New Roman,Normal"&amp;8&amp;K000000Side &amp;P af i alt &amp;N</oddFooter>
  </headerFooter>
  <rowBreaks count="1" manualBreakCount="1">
    <brk id="10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6"/>
  <sheetViews>
    <sheetView view="pageBreakPreview" zoomScaleNormal="125" zoomScaleSheetLayoutView="100" zoomScalePageLayoutView="125" workbookViewId="0">
      <selection activeCell="C30" sqref="C30"/>
    </sheetView>
  </sheetViews>
  <sheetFormatPr defaultColWidth="11.28515625" defaultRowHeight="15"/>
  <cols>
    <col min="2" max="2" width="11.140625" customWidth="1"/>
    <col min="3" max="3" width="15.28515625" customWidth="1"/>
    <col min="4" max="4" width="11.28515625" customWidth="1"/>
    <col min="6" max="6" width="20" customWidth="1"/>
    <col min="7" max="7" width="16.28515625" customWidth="1"/>
    <col min="8" max="8" width="8.140625" customWidth="1"/>
  </cols>
  <sheetData>
    <row r="1" spans="1:9">
      <c r="A1" t="s">
        <v>31</v>
      </c>
      <c r="C1" s="5"/>
      <c r="D1" s="566" t="s">
        <v>445</v>
      </c>
    </row>
    <row r="3" spans="1:9" ht="20.25">
      <c r="A3" s="19" t="s">
        <v>25</v>
      </c>
      <c r="B3" s="20"/>
      <c r="C3" s="20"/>
      <c r="D3" s="20"/>
      <c r="E3" s="20"/>
      <c r="F3" s="20"/>
      <c r="G3" s="20"/>
    </row>
    <row r="4" spans="1:9">
      <c r="A4" s="20"/>
      <c r="B4" s="20"/>
      <c r="C4" s="20"/>
      <c r="D4" s="20"/>
      <c r="E4" s="20"/>
      <c r="F4" s="20"/>
      <c r="G4" s="20"/>
      <c r="H4" s="2"/>
      <c r="I4" s="2"/>
    </row>
    <row r="5" spans="1:9" ht="18">
      <c r="A5" s="17" t="s">
        <v>26</v>
      </c>
      <c r="B5" s="20"/>
      <c r="C5" s="20"/>
      <c r="D5" s="20"/>
      <c r="E5" s="20"/>
      <c r="F5" s="20"/>
      <c r="G5" s="20"/>
      <c r="H5" s="2"/>
      <c r="I5" s="2"/>
    </row>
    <row r="6" spans="1:9">
      <c r="A6" s="20"/>
      <c r="B6" s="20"/>
      <c r="C6" s="20"/>
      <c r="D6" s="20"/>
      <c r="E6" s="20"/>
      <c r="F6" s="20"/>
      <c r="G6" s="20"/>
      <c r="H6" s="2"/>
      <c r="I6" s="2"/>
    </row>
    <row r="7" spans="1:9" ht="15.75">
      <c r="A7" s="1705" t="s">
        <v>29</v>
      </c>
      <c r="B7" s="1705"/>
      <c r="C7" s="555">
        <v>45962</v>
      </c>
      <c r="D7" s="28">
        <v>24.912600000000001</v>
      </c>
      <c r="E7" s="27" t="s">
        <v>33</v>
      </c>
      <c r="F7" s="27"/>
      <c r="G7" s="131">
        <v>46112</v>
      </c>
      <c r="H7" s="2"/>
      <c r="I7" s="2"/>
    </row>
    <row r="8" spans="1:9">
      <c r="A8" s="20"/>
      <c r="B8" s="20"/>
      <c r="C8" s="14"/>
      <c r="D8" s="20"/>
      <c r="E8" s="20"/>
      <c r="F8" s="20"/>
      <c r="G8" s="20"/>
      <c r="H8" s="2"/>
      <c r="I8" s="2"/>
    </row>
    <row r="9" spans="1:9" ht="15.75" thickBot="1">
      <c r="A9" s="21" t="s">
        <v>30</v>
      </c>
      <c r="B9" s="20"/>
      <c r="C9" s="20"/>
      <c r="D9" s="20"/>
      <c r="E9" s="20"/>
      <c r="F9" s="20"/>
      <c r="G9" s="20"/>
      <c r="H9" s="2"/>
      <c r="I9" s="2"/>
    </row>
    <row r="10" spans="1:9">
      <c r="A10" s="22" t="s">
        <v>27</v>
      </c>
      <c r="B10" s="23" t="s">
        <v>28</v>
      </c>
      <c r="C10" s="1706" t="s">
        <v>32</v>
      </c>
      <c r="D10" s="1706"/>
      <c r="E10" s="1706"/>
      <c r="F10" s="1706"/>
      <c r="G10" s="1706"/>
      <c r="H10" s="2"/>
      <c r="I10" s="2"/>
    </row>
    <row r="11" spans="1:9">
      <c r="A11" s="202">
        <v>40999</v>
      </c>
      <c r="B11" s="29">
        <v>1</v>
      </c>
      <c r="C11" s="1706"/>
      <c r="D11" s="1706"/>
      <c r="E11" s="1706"/>
      <c r="F11" s="1706"/>
      <c r="G11" s="1706"/>
      <c r="H11" s="2"/>
      <c r="I11" s="2"/>
    </row>
    <row r="12" spans="1:9">
      <c r="A12" s="85">
        <v>41000</v>
      </c>
      <c r="B12" s="29">
        <v>1.304</v>
      </c>
      <c r="C12" s="20"/>
      <c r="D12" s="20"/>
      <c r="E12" s="20"/>
      <c r="F12" s="20"/>
      <c r="G12" s="20"/>
      <c r="H12" s="2"/>
      <c r="I12" s="2"/>
    </row>
    <row r="13" spans="1:9">
      <c r="A13" s="85">
        <v>41365</v>
      </c>
      <c r="B13" s="29">
        <v>1.304</v>
      </c>
      <c r="C13" s="20"/>
      <c r="D13" s="20"/>
      <c r="E13" s="20"/>
      <c r="F13" s="20"/>
      <c r="G13" s="20"/>
      <c r="H13" s="2"/>
      <c r="I13" s="2"/>
    </row>
    <row r="14" spans="1:9">
      <c r="A14" s="203">
        <v>41730</v>
      </c>
      <c r="B14" s="18">
        <v>1.7161999999999999</v>
      </c>
      <c r="C14" s="20"/>
      <c r="D14" s="20"/>
      <c r="E14" s="20"/>
      <c r="F14" s="20"/>
      <c r="G14" s="20"/>
      <c r="H14" s="2"/>
      <c r="I14" s="2"/>
    </row>
    <row r="15" spans="1:9">
      <c r="A15" s="203">
        <v>42095</v>
      </c>
      <c r="B15" s="18">
        <v>2.1745000000000001</v>
      </c>
      <c r="C15" s="20"/>
      <c r="D15" s="20"/>
      <c r="E15" s="20"/>
      <c r="F15" s="20"/>
      <c r="G15" s="20"/>
      <c r="H15" s="2"/>
      <c r="I15" s="2"/>
    </row>
    <row r="16" spans="1:9">
      <c r="A16" s="203">
        <v>42461</v>
      </c>
      <c r="B16" s="18">
        <v>2.9882</v>
      </c>
      <c r="C16" s="20"/>
      <c r="D16" s="20"/>
      <c r="E16" s="20"/>
      <c r="F16" s="20"/>
      <c r="G16" s="20"/>
      <c r="H16" s="2"/>
      <c r="I16" s="2"/>
    </row>
    <row r="17" spans="1:12">
      <c r="A17" s="203">
        <v>42826</v>
      </c>
      <c r="B17" s="18">
        <v>4.2446000000000002</v>
      </c>
      <c r="C17" s="20"/>
      <c r="D17" s="20"/>
      <c r="E17" s="20"/>
      <c r="F17" s="20"/>
      <c r="G17" s="20"/>
      <c r="H17" s="2"/>
      <c r="I17" s="2"/>
      <c r="L17" s="13"/>
    </row>
    <row r="18" spans="1:12">
      <c r="A18" s="203">
        <v>43070</v>
      </c>
      <c r="B18" s="18">
        <v>5.7702999999999998</v>
      </c>
      <c r="C18" s="20"/>
      <c r="D18" s="20"/>
      <c r="E18" s="20"/>
      <c r="F18" s="27"/>
      <c r="G18" s="20"/>
      <c r="H18" s="2"/>
      <c r="I18" s="2"/>
    </row>
    <row r="19" spans="1:12">
      <c r="A19" s="617">
        <v>43191</v>
      </c>
      <c r="B19" s="618">
        <v>6.9683000000000002</v>
      </c>
      <c r="C19" s="20"/>
      <c r="D19" s="20"/>
      <c r="E19" s="20"/>
      <c r="F19" s="20"/>
      <c r="G19" s="20"/>
      <c r="H19" s="2"/>
      <c r="I19" s="2"/>
    </row>
    <row r="20" spans="1:12">
      <c r="A20" s="617">
        <v>43373</v>
      </c>
      <c r="B20" s="618">
        <v>7.4972000000000003</v>
      </c>
      <c r="C20" s="20"/>
      <c r="D20" s="20"/>
      <c r="E20" s="20"/>
      <c r="F20" s="20"/>
      <c r="G20" s="20"/>
      <c r="H20" s="2"/>
      <c r="I20" s="2"/>
    </row>
    <row r="21" spans="1:12">
      <c r="A21" s="617">
        <v>43556</v>
      </c>
      <c r="B21" s="618">
        <v>8.4910999999999994</v>
      </c>
      <c r="C21" s="20"/>
      <c r="D21" s="20"/>
      <c r="E21" s="20"/>
      <c r="F21" s="20"/>
      <c r="G21" s="20"/>
      <c r="H21" s="2"/>
      <c r="I21" s="2"/>
    </row>
    <row r="22" spans="1:12">
      <c r="A22" s="617">
        <v>43739</v>
      </c>
      <c r="B22" s="618">
        <v>9.4007000000000005</v>
      </c>
      <c r="C22" s="20"/>
      <c r="D22" s="20"/>
      <c r="E22" s="20"/>
      <c r="F22" s="20"/>
      <c r="G22" s="20"/>
      <c r="H22" s="2"/>
      <c r="I22" s="2"/>
    </row>
    <row r="23" spans="1:12">
      <c r="A23" s="617">
        <v>43922</v>
      </c>
      <c r="B23" s="618">
        <v>10.323600000000001</v>
      </c>
      <c r="C23" s="20"/>
      <c r="D23" s="20"/>
      <c r="E23" s="20"/>
      <c r="F23" s="20"/>
      <c r="G23" s="20"/>
      <c r="H23" s="2"/>
      <c r="I23" s="2"/>
    </row>
    <row r="24" spans="1:12">
      <c r="A24" s="617">
        <v>44228</v>
      </c>
      <c r="B24" s="618">
        <v>10.2211</v>
      </c>
      <c r="C24" s="20"/>
      <c r="D24" s="20"/>
      <c r="E24" s="20"/>
      <c r="F24" s="20"/>
      <c r="G24" s="20"/>
      <c r="H24" s="2"/>
      <c r="I24" s="2"/>
    </row>
    <row r="25" spans="1:12">
      <c r="A25" s="617">
        <v>44287</v>
      </c>
      <c r="B25" s="618">
        <v>11.1029</v>
      </c>
      <c r="C25" s="20"/>
      <c r="D25" s="20"/>
      <c r="E25" s="20"/>
      <c r="F25" s="20"/>
      <c r="G25" s="20"/>
      <c r="H25" s="2"/>
      <c r="I25" s="2"/>
    </row>
    <row r="26" spans="1:12">
      <c r="A26" s="617">
        <v>44470</v>
      </c>
      <c r="B26" s="618">
        <v>11.4336</v>
      </c>
      <c r="C26" s="20"/>
      <c r="D26" s="20"/>
      <c r="E26" s="20"/>
      <c r="F26" s="20"/>
      <c r="G26" s="20"/>
      <c r="H26" s="2"/>
      <c r="I26" s="2"/>
    </row>
    <row r="27" spans="1:12">
      <c r="A27" s="617">
        <v>44652</v>
      </c>
      <c r="B27" s="618">
        <v>13.410399999999999</v>
      </c>
      <c r="C27" s="20"/>
      <c r="D27" s="20"/>
      <c r="E27" s="20"/>
      <c r="F27" s="20"/>
      <c r="G27" s="20"/>
      <c r="H27" s="2"/>
      <c r="I27" s="2"/>
    </row>
    <row r="28" spans="1:12">
      <c r="A28" s="617">
        <v>44835</v>
      </c>
      <c r="B28" s="618">
        <v>13.741099999999999</v>
      </c>
      <c r="C28" s="20"/>
      <c r="D28" s="20"/>
      <c r="E28" s="20"/>
      <c r="F28" s="20"/>
      <c r="G28" s="20"/>
      <c r="H28" s="2"/>
      <c r="I28" s="2"/>
    </row>
    <row r="29" spans="1:12">
      <c r="A29" s="617">
        <v>45017</v>
      </c>
      <c r="B29" s="618">
        <v>15.533899999999999</v>
      </c>
      <c r="C29" s="20"/>
      <c r="D29" s="20"/>
      <c r="E29" s="20"/>
      <c r="F29" s="20"/>
      <c r="G29" s="20"/>
      <c r="H29" s="2"/>
      <c r="I29" s="2"/>
    </row>
    <row r="30" spans="1:12">
      <c r="A30" s="617">
        <v>45200</v>
      </c>
      <c r="B30" s="618">
        <v>15.919700000000001</v>
      </c>
      <c r="C30" s="20"/>
      <c r="D30" s="20"/>
      <c r="E30" s="20"/>
      <c r="F30" s="20"/>
      <c r="G30" s="20"/>
      <c r="H30" s="2"/>
      <c r="I30" s="2"/>
    </row>
    <row r="31" spans="1:12">
      <c r="A31" s="617">
        <v>45383</v>
      </c>
      <c r="B31" s="618">
        <v>22.806699999999999</v>
      </c>
      <c r="C31" s="20"/>
      <c r="D31" s="20"/>
      <c r="E31" s="20"/>
      <c r="F31" s="20"/>
      <c r="G31" s="20"/>
      <c r="H31" s="2"/>
      <c r="I31" s="2"/>
    </row>
    <row r="32" spans="1:12">
      <c r="A32" s="617">
        <v>45748</v>
      </c>
      <c r="B32" s="618">
        <v>23.3095</v>
      </c>
      <c r="C32" s="20"/>
      <c r="D32" s="20"/>
      <c r="E32" s="20"/>
      <c r="F32" s="20"/>
      <c r="G32" s="20"/>
      <c r="H32" s="2"/>
      <c r="I32" s="2"/>
    </row>
    <row r="33" spans="1:9" ht="15.75" thickBot="1">
      <c r="A33" s="819">
        <v>45962</v>
      </c>
      <c r="B33" s="820">
        <v>24.912600000000001</v>
      </c>
      <c r="C33" s="20"/>
      <c r="D33" s="20"/>
      <c r="E33" s="20"/>
      <c r="F33" s="20"/>
      <c r="G33" s="20"/>
      <c r="H33" s="2"/>
      <c r="I33" s="2"/>
    </row>
    <row r="34" spans="1:9">
      <c r="A34" s="748"/>
      <c r="B34" s="7"/>
      <c r="C34" s="20"/>
      <c r="D34" s="20"/>
      <c r="E34" s="20"/>
      <c r="F34" s="20"/>
      <c r="G34" s="20"/>
      <c r="H34" s="2"/>
      <c r="I34" s="2"/>
    </row>
    <row r="35" spans="1:9">
      <c r="A35" s="748"/>
      <c r="B35" s="7"/>
      <c r="C35" s="20"/>
      <c r="D35" s="20"/>
      <c r="E35" s="20"/>
      <c r="F35" s="20"/>
      <c r="G35" s="20"/>
      <c r="H35" s="2"/>
      <c r="I35" s="2"/>
    </row>
    <row r="36" spans="1:9">
      <c r="A36" s="748"/>
      <c r="B36" s="7"/>
      <c r="C36" s="20"/>
      <c r="D36" s="20"/>
      <c r="E36" s="20"/>
      <c r="F36" s="20"/>
      <c r="G36" s="20"/>
      <c r="H36" s="2"/>
      <c r="I36" s="2"/>
    </row>
  </sheetData>
  <sheetProtection sheet="1" objects="1" scenarios="1"/>
  <mergeCells count="2">
    <mergeCell ref="A7:B7"/>
    <mergeCell ref="C10:G11"/>
  </mergeCells>
  <phoneticPr fontId="7" type="noConversion"/>
  <pageMargins left="0.75000000000000011" right="0.75000000000000011" top="0.98" bottom="0.98" header="0.51" footer="0.51"/>
  <pageSetup paperSize="9" scale="89" orientation="portrait" r:id="rId1"/>
  <headerFooter>
    <oddFooter>&amp;C&amp;"Calibri,Normal"&amp;K000000Løntabel gældende fra &amp;R&amp;"Calibri,Normal"&amp;K000000Side &amp;P af i alt &amp;N sider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="70" zoomScaleNormal="70" workbookViewId="0">
      <selection activeCell="B33" sqref="B33"/>
    </sheetView>
  </sheetViews>
  <sheetFormatPr defaultColWidth="11.28515625" defaultRowHeight="15"/>
  <cols>
    <col min="1" max="1" width="11.28515625" customWidth="1"/>
    <col min="2" max="2" width="60.140625" customWidth="1"/>
    <col min="3" max="3" width="12.28515625" customWidth="1"/>
    <col min="4" max="4" width="12.7109375" customWidth="1"/>
    <col min="5" max="6" width="13" customWidth="1"/>
    <col min="7" max="7" width="14.85546875" customWidth="1"/>
    <col min="9" max="9" width="9.28515625" customWidth="1"/>
  </cols>
  <sheetData>
    <row r="1" spans="1:9">
      <c r="A1" s="849" t="s">
        <v>241</v>
      </c>
      <c r="B1" s="855" t="s">
        <v>233</v>
      </c>
      <c r="C1" s="855"/>
      <c r="D1" s="855"/>
      <c r="E1" s="855"/>
      <c r="F1" s="855"/>
      <c r="G1" s="855"/>
      <c r="H1" s="855"/>
      <c r="I1" s="856"/>
    </row>
    <row r="2" spans="1:9" ht="15.75" thickBot="1">
      <c r="A2" s="850"/>
      <c r="B2" s="857"/>
      <c r="C2" s="857"/>
      <c r="D2" s="857"/>
      <c r="E2" s="857"/>
      <c r="F2" s="857"/>
      <c r="G2" s="857"/>
      <c r="H2" s="857"/>
      <c r="I2" s="858"/>
    </row>
    <row r="3" spans="1:9" ht="42" customHeight="1" thickBot="1">
      <c r="A3" s="850"/>
      <c r="B3" s="841" t="s">
        <v>243</v>
      </c>
      <c r="C3" s="842"/>
      <c r="D3" s="842"/>
      <c r="E3" s="842"/>
      <c r="F3" s="842"/>
      <c r="G3" s="842"/>
      <c r="H3" s="842"/>
      <c r="I3" s="843"/>
    </row>
    <row r="4" spans="1:9" ht="15" customHeight="1">
      <c r="A4" s="850"/>
      <c r="B4" s="458" t="s">
        <v>231</v>
      </c>
      <c r="C4" s="479" t="s">
        <v>216</v>
      </c>
      <c r="D4" s="480" t="s">
        <v>217</v>
      </c>
      <c r="E4" s="480" t="s">
        <v>218</v>
      </c>
      <c r="F4" s="479" t="s">
        <v>219</v>
      </c>
      <c r="G4" s="870" t="s">
        <v>245</v>
      </c>
      <c r="H4" s="870" t="s">
        <v>247</v>
      </c>
      <c r="I4" s="872" t="s">
        <v>224</v>
      </c>
    </row>
    <row r="5" spans="1:9" ht="39" thickBot="1">
      <c r="A5" s="850"/>
      <c r="B5" s="459" t="s">
        <v>230</v>
      </c>
      <c r="C5" s="481" t="s">
        <v>235</v>
      </c>
      <c r="D5" s="481" t="s">
        <v>236</v>
      </c>
      <c r="E5" s="481" t="s">
        <v>237</v>
      </c>
      <c r="F5" s="481" t="s">
        <v>238</v>
      </c>
      <c r="G5" s="871"/>
      <c r="H5" s="871"/>
      <c r="I5" s="873"/>
    </row>
    <row r="6" spans="1:9">
      <c r="A6" s="850"/>
      <c r="B6" s="375" t="s">
        <v>220</v>
      </c>
      <c r="C6" s="453" t="s">
        <v>221</v>
      </c>
      <c r="D6" s="453" t="s">
        <v>221</v>
      </c>
      <c r="E6" s="453" t="s">
        <v>221</v>
      </c>
      <c r="F6" s="453" t="s">
        <v>221</v>
      </c>
      <c r="G6" s="453" t="s">
        <v>226</v>
      </c>
      <c r="H6" s="453" t="s">
        <v>226</v>
      </c>
      <c r="I6" s="454" t="s">
        <v>226</v>
      </c>
    </row>
    <row r="7" spans="1:9">
      <c r="A7" s="850"/>
      <c r="B7" s="373" t="s">
        <v>242</v>
      </c>
      <c r="C7" s="452" t="s">
        <v>221</v>
      </c>
      <c r="D7" s="452" t="s">
        <v>221</v>
      </c>
      <c r="E7" s="452" t="s">
        <v>221</v>
      </c>
      <c r="F7" s="452" t="s">
        <v>221</v>
      </c>
      <c r="G7" s="452" t="s">
        <v>227</v>
      </c>
      <c r="H7" s="452" t="s">
        <v>226</v>
      </c>
      <c r="I7" s="455" t="s">
        <v>227</v>
      </c>
    </row>
    <row r="8" spans="1:9">
      <c r="A8" s="850"/>
      <c r="B8" s="373" t="s">
        <v>13</v>
      </c>
      <c r="C8" s="452" t="s">
        <v>221</v>
      </c>
      <c r="D8" s="452" t="s">
        <v>221</v>
      </c>
      <c r="E8" s="452" t="s">
        <v>221</v>
      </c>
      <c r="F8" s="452" t="s">
        <v>221</v>
      </c>
      <c r="G8" s="452" t="s">
        <v>226</v>
      </c>
      <c r="H8" s="452" t="s">
        <v>227</v>
      </c>
      <c r="I8" s="455" t="s">
        <v>226</v>
      </c>
    </row>
    <row r="9" spans="1:9">
      <c r="A9" s="850"/>
      <c r="B9" s="373" t="s">
        <v>222</v>
      </c>
      <c r="C9" s="452" t="s">
        <v>221</v>
      </c>
      <c r="D9" s="452" t="s">
        <v>221</v>
      </c>
      <c r="E9" s="452" t="s">
        <v>221</v>
      </c>
      <c r="F9" s="452"/>
      <c r="G9" s="452" t="s">
        <v>227</v>
      </c>
      <c r="H9" s="452" t="s">
        <v>226</v>
      </c>
      <c r="I9" s="455" t="s">
        <v>226</v>
      </c>
    </row>
    <row r="10" spans="1:9">
      <c r="A10" s="850"/>
      <c r="B10" s="373" t="s">
        <v>223</v>
      </c>
      <c r="C10" s="452" t="s">
        <v>221</v>
      </c>
      <c r="D10" s="452" t="s">
        <v>221</v>
      </c>
      <c r="E10" s="452" t="s">
        <v>221</v>
      </c>
      <c r="F10" s="452" t="s">
        <v>221</v>
      </c>
      <c r="G10" s="452" t="s">
        <v>226</v>
      </c>
      <c r="H10" s="452" t="s">
        <v>226</v>
      </c>
      <c r="I10" s="455" t="s">
        <v>226</v>
      </c>
    </row>
    <row r="11" spans="1:9">
      <c r="A11" s="850"/>
      <c r="B11" s="373" t="s">
        <v>426</v>
      </c>
      <c r="C11" s="452" t="s">
        <v>221</v>
      </c>
      <c r="D11" s="452" t="s">
        <v>221</v>
      </c>
      <c r="E11" s="452" t="s">
        <v>221</v>
      </c>
      <c r="F11" s="452" t="s">
        <v>221</v>
      </c>
      <c r="G11" s="475" t="s">
        <v>226</v>
      </c>
      <c r="H11" s="475" t="s">
        <v>226</v>
      </c>
      <c r="I11" s="616" t="s">
        <v>226</v>
      </c>
    </row>
    <row r="12" spans="1:9">
      <c r="A12" s="850"/>
      <c r="B12" s="874" t="s">
        <v>251</v>
      </c>
      <c r="C12" s="869"/>
      <c r="D12" s="869"/>
      <c r="E12" s="869"/>
      <c r="F12" s="869" t="s">
        <v>229</v>
      </c>
      <c r="G12" s="861" t="s">
        <v>226</v>
      </c>
      <c r="H12" s="861" t="s">
        <v>226</v>
      </c>
      <c r="I12" s="863" t="s">
        <v>226</v>
      </c>
    </row>
    <row r="13" spans="1:9">
      <c r="A13" s="850"/>
      <c r="B13" s="874"/>
      <c r="C13" s="869"/>
      <c r="D13" s="869"/>
      <c r="E13" s="869"/>
      <c r="F13" s="869"/>
      <c r="G13" s="862"/>
      <c r="H13" s="862"/>
      <c r="I13" s="864"/>
    </row>
    <row r="14" spans="1:9" ht="30">
      <c r="A14" s="850"/>
      <c r="B14" s="474" t="s">
        <v>256</v>
      </c>
      <c r="C14" s="452" t="s">
        <v>229</v>
      </c>
      <c r="D14" s="452" t="s">
        <v>229</v>
      </c>
      <c r="E14" s="452" t="s">
        <v>229</v>
      </c>
      <c r="F14" s="452" t="s">
        <v>229</v>
      </c>
      <c r="G14" s="453" t="s">
        <v>226</v>
      </c>
      <c r="H14" s="453" t="s">
        <v>226</v>
      </c>
      <c r="I14" s="454" t="s">
        <v>226</v>
      </c>
    </row>
    <row r="15" spans="1:9">
      <c r="A15" s="850"/>
      <c r="B15" s="373" t="s">
        <v>232</v>
      </c>
      <c r="C15" s="452" t="s">
        <v>221</v>
      </c>
      <c r="D15" s="452" t="s">
        <v>221</v>
      </c>
      <c r="E15" s="452" t="s">
        <v>221</v>
      </c>
      <c r="F15" s="452" t="s">
        <v>221</v>
      </c>
      <c r="G15" s="452" t="s">
        <v>226</v>
      </c>
      <c r="H15" s="452" t="s">
        <v>227</v>
      </c>
      <c r="I15" s="455" t="s">
        <v>226</v>
      </c>
    </row>
    <row r="16" spans="1:9">
      <c r="A16" s="850"/>
      <c r="B16" s="867" t="s">
        <v>381</v>
      </c>
      <c r="C16" s="868" t="s">
        <v>221</v>
      </c>
      <c r="D16" s="869" t="s">
        <v>221</v>
      </c>
      <c r="E16" s="869" t="s">
        <v>221</v>
      </c>
      <c r="F16" s="868" t="s">
        <v>221</v>
      </c>
      <c r="G16" s="861" t="s">
        <v>227</v>
      </c>
      <c r="H16" s="861" t="s">
        <v>227</v>
      </c>
      <c r="I16" s="863" t="s">
        <v>226</v>
      </c>
    </row>
    <row r="17" spans="1:9" ht="0.95" customHeight="1">
      <c r="A17" s="850"/>
      <c r="B17" s="867"/>
      <c r="C17" s="868"/>
      <c r="D17" s="869"/>
      <c r="E17" s="869"/>
      <c r="F17" s="868"/>
      <c r="G17" s="862"/>
      <c r="H17" s="862"/>
      <c r="I17" s="864"/>
    </row>
    <row r="18" spans="1:9" ht="39">
      <c r="A18" s="850"/>
      <c r="B18" s="373" t="s">
        <v>244</v>
      </c>
      <c r="C18" s="452" t="s">
        <v>221</v>
      </c>
      <c r="D18" s="452" t="s">
        <v>221</v>
      </c>
      <c r="E18" s="452" t="s">
        <v>221</v>
      </c>
      <c r="F18" s="452" t="s">
        <v>221</v>
      </c>
      <c r="G18" s="582" t="s">
        <v>298</v>
      </c>
      <c r="H18" s="452" t="s">
        <v>227</v>
      </c>
      <c r="I18" s="455" t="s">
        <v>226</v>
      </c>
    </row>
    <row r="19" spans="1:9">
      <c r="A19" s="850"/>
      <c r="B19" s="373" t="s">
        <v>64</v>
      </c>
      <c r="C19" s="452" t="s">
        <v>221</v>
      </c>
      <c r="D19" s="452" t="s">
        <v>221</v>
      </c>
      <c r="E19" s="452" t="s">
        <v>221</v>
      </c>
      <c r="F19" s="452" t="s">
        <v>221</v>
      </c>
      <c r="G19" s="452" t="s">
        <v>227</v>
      </c>
      <c r="H19" s="475" t="s">
        <v>227</v>
      </c>
      <c r="I19" s="455" t="s">
        <v>227</v>
      </c>
    </row>
    <row r="20" spans="1:9">
      <c r="A20" s="850"/>
      <c r="B20" s="373" t="s">
        <v>228</v>
      </c>
      <c r="C20" s="452" t="s">
        <v>221</v>
      </c>
      <c r="D20" s="452" t="s">
        <v>221</v>
      </c>
      <c r="E20" s="452" t="s">
        <v>221</v>
      </c>
      <c r="F20" s="452" t="s">
        <v>221</v>
      </c>
      <c r="G20" s="452" t="s">
        <v>226</v>
      </c>
      <c r="H20" s="865" t="s">
        <v>246</v>
      </c>
      <c r="I20" s="455" t="s">
        <v>226</v>
      </c>
    </row>
    <row r="21" spans="1:9" ht="15.75" thickBot="1">
      <c r="A21" s="850"/>
      <c r="B21" s="472" t="s">
        <v>225</v>
      </c>
      <c r="C21" s="456" t="s">
        <v>221</v>
      </c>
      <c r="D21" s="456" t="s">
        <v>221</v>
      </c>
      <c r="E21" s="456" t="s">
        <v>221</v>
      </c>
      <c r="F21" s="456" t="s">
        <v>221</v>
      </c>
      <c r="G21" s="456" t="s">
        <v>226</v>
      </c>
      <c r="H21" s="866"/>
      <c r="I21" s="457" t="s">
        <v>226</v>
      </c>
    </row>
    <row r="22" spans="1:9">
      <c r="A22" s="850"/>
      <c r="B22" s="473" t="s">
        <v>207</v>
      </c>
      <c r="C22" s="465"/>
      <c r="D22" s="465"/>
      <c r="E22" s="466"/>
      <c r="F22" s="466"/>
      <c r="G22" s="467"/>
      <c r="H22" s="467"/>
      <c r="I22" s="468"/>
    </row>
    <row r="23" spans="1:9">
      <c r="A23" s="850"/>
      <c r="B23" s="476" t="s">
        <v>208</v>
      </c>
      <c r="C23" s="476"/>
      <c r="D23" s="476"/>
      <c r="E23" s="42"/>
      <c r="F23" s="42"/>
      <c r="G23" s="53"/>
      <c r="H23" s="53"/>
      <c r="I23" s="469"/>
    </row>
    <row r="24" spans="1:9">
      <c r="A24" s="850"/>
      <c r="B24" s="476" t="s">
        <v>427</v>
      </c>
      <c r="C24" s="476"/>
      <c r="D24" s="476"/>
      <c r="E24" s="42"/>
      <c r="F24" s="42"/>
      <c r="G24" s="53"/>
      <c r="H24" s="53"/>
      <c r="I24" s="469"/>
    </row>
    <row r="25" spans="1:9">
      <c r="A25" s="850"/>
      <c r="B25" s="859" t="s">
        <v>351</v>
      </c>
      <c r="C25" s="859"/>
      <c r="D25" s="859"/>
      <c r="E25" s="859"/>
      <c r="F25" s="859"/>
      <c r="G25" s="859"/>
      <c r="H25" s="859"/>
      <c r="I25" s="860"/>
    </row>
    <row r="26" spans="1:9">
      <c r="A26" s="850"/>
      <c r="B26" s="859"/>
      <c r="C26" s="859"/>
      <c r="D26" s="859"/>
      <c r="E26" s="859"/>
      <c r="F26" s="859"/>
      <c r="G26" s="859"/>
      <c r="H26" s="859"/>
      <c r="I26" s="860"/>
    </row>
    <row r="27" spans="1:9" ht="15.75" thickBot="1">
      <c r="A27" s="851"/>
      <c r="B27" s="470"/>
      <c r="C27" s="470"/>
      <c r="D27" s="470"/>
      <c r="E27" s="470"/>
      <c r="F27" s="470"/>
      <c r="G27" s="470"/>
      <c r="H27" s="470"/>
      <c r="I27" s="471"/>
    </row>
    <row r="28" spans="1:9">
      <c r="B28" s="56"/>
      <c r="C28" s="56"/>
      <c r="D28" s="56"/>
      <c r="E28" s="56"/>
      <c r="F28" s="56"/>
      <c r="G28" s="56"/>
      <c r="H28" s="56"/>
      <c r="I28" s="56"/>
    </row>
    <row r="29" spans="1:9" ht="15.75" thickBot="1">
      <c r="B29" s="448"/>
      <c r="C29" s="448"/>
      <c r="D29" s="448"/>
      <c r="E29" s="69"/>
      <c r="F29" s="451"/>
      <c r="G29" s="68"/>
      <c r="H29" s="68"/>
      <c r="I29" s="68"/>
    </row>
    <row r="30" spans="1:9" ht="21.95" customHeight="1" thickBot="1">
      <c r="A30" s="849" t="s">
        <v>240</v>
      </c>
      <c r="B30" s="847" t="s">
        <v>234</v>
      </c>
      <c r="C30" s="847"/>
      <c r="D30" s="847"/>
      <c r="E30" s="847"/>
      <c r="F30" s="847"/>
      <c r="G30" s="847"/>
      <c r="H30" s="847"/>
      <c r="I30" s="848"/>
    </row>
    <row r="31" spans="1:9" ht="36.950000000000003" customHeight="1" thickBot="1">
      <c r="A31" s="850"/>
      <c r="B31" s="844" t="s">
        <v>398</v>
      </c>
      <c r="C31" s="845"/>
      <c r="D31" s="845"/>
      <c r="E31" s="845"/>
      <c r="F31" s="845"/>
      <c r="G31" s="845"/>
      <c r="H31" s="845"/>
      <c r="I31" s="846"/>
    </row>
    <row r="32" spans="1:9" ht="16.5" thickBot="1">
      <c r="A32" s="850"/>
      <c r="B32" s="460" t="s">
        <v>248</v>
      </c>
      <c r="C32" s="460"/>
      <c r="D32" s="460"/>
      <c r="E32" s="460"/>
      <c r="F32" s="460"/>
      <c r="G32" s="896" t="s">
        <v>57</v>
      </c>
      <c r="H32" s="897"/>
      <c r="I32" s="898"/>
    </row>
    <row r="33" spans="1:11">
      <c r="A33" s="850"/>
      <c r="B33" s="461" t="s">
        <v>210</v>
      </c>
      <c r="C33" s="461"/>
      <c r="D33" s="461"/>
      <c r="E33" s="461"/>
      <c r="F33" s="461"/>
      <c r="G33" s="899" t="s">
        <v>414</v>
      </c>
      <c r="H33" s="900"/>
      <c r="I33" s="901"/>
    </row>
    <row r="34" spans="1:11">
      <c r="A34" s="850"/>
      <c r="B34" s="462" t="s">
        <v>257</v>
      </c>
      <c r="C34" s="462"/>
      <c r="D34" s="462"/>
      <c r="E34" s="462"/>
      <c r="F34" s="462"/>
      <c r="G34" s="881" t="s">
        <v>415</v>
      </c>
      <c r="H34" s="882"/>
      <c r="I34" s="883"/>
    </row>
    <row r="35" spans="1:11" ht="15.75" thickBot="1">
      <c r="A35" s="850"/>
      <c r="B35" s="463" t="s">
        <v>258</v>
      </c>
      <c r="C35" s="463"/>
      <c r="D35" s="463"/>
      <c r="E35" s="463"/>
      <c r="F35" s="463"/>
      <c r="G35" s="884">
        <v>48</v>
      </c>
      <c r="H35" s="885"/>
      <c r="I35" s="886"/>
    </row>
    <row r="36" spans="1:11" ht="15.75" thickBot="1">
      <c r="A36" s="850"/>
      <c r="B36" s="852"/>
      <c r="C36" s="853"/>
      <c r="D36" s="853"/>
      <c r="E36" s="853"/>
      <c r="F36" s="853"/>
      <c r="G36" s="853"/>
      <c r="H36" s="853"/>
      <c r="I36" s="854"/>
      <c r="J36" s="233"/>
      <c r="K36" s="233"/>
    </row>
    <row r="37" spans="1:11" ht="16.5" thickBot="1">
      <c r="A37" s="850"/>
      <c r="B37" s="460" t="s">
        <v>418</v>
      </c>
      <c r="C37" s="460"/>
      <c r="D37" s="460"/>
      <c r="E37" s="460"/>
      <c r="F37" s="460"/>
      <c r="G37" s="890" t="s">
        <v>57</v>
      </c>
      <c r="H37" s="891"/>
      <c r="I37" s="892"/>
    </row>
    <row r="38" spans="1:11">
      <c r="A38" s="850"/>
      <c r="B38" s="798" t="s">
        <v>212</v>
      </c>
      <c r="C38" s="799"/>
      <c r="D38" s="799"/>
      <c r="E38" s="799"/>
      <c r="F38" s="799"/>
      <c r="G38" s="893" t="s">
        <v>416</v>
      </c>
      <c r="H38" s="894"/>
      <c r="I38" s="895"/>
    </row>
    <row r="39" spans="1:11">
      <c r="A39" s="850"/>
      <c r="B39" s="802" t="s">
        <v>417</v>
      </c>
      <c r="C39" s="797"/>
      <c r="D39" s="797"/>
      <c r="E39" s="797"/>
      <c r="F39" s="797"/>
      <c r="G39" s="887">
        <v>40</v>
      </c>
      <c r="H39" s="888"/>
      <c r="I39" s="889"/>
    </row>
    <row r="40" spans="1:11">
      <c r="A40" s="850"/>
      <c r="B40" s="800" t="s">
        <v>353</v>
      </c>
      <c r="C40" s="462"/>
      <c r="D40" s="462"/>
      <c r="E40" s="462"/>
      <c r="F40" s="462"/>
      <c r="G40" s="881" t="s">
        <v>211</v>
      </c>
      <c r="H40" s="882"/>
      <c r="I40" s="883"/>
    </row>
    <row r="41" spans="1:11">
      <c r="A41" s="850"/>
      <c r="B41" s="800" t="s">
        <v>371</v>
      </c>
      <c r="C41" s="462"/>
      <c r="D41" s="462"/>
      <c r="E41" s="462"/>
      <c r="F41" s="462"/>
      <c r="G41" s="881" t="s">
        <v>349</v>
      </c>
      <c r="H41" s="882"/>
      <c r="I41" s="883"/>
    </row>
    <row r="42" spans="1:11" ht="15.75" thickBot="1">
      <c r="A42" s="850"/>
      <c r="B42" s="801" t="s">
        <v>372</v>
      </c>
      <c r="C42" s="463"/>
      <c r="D42" s="463"/>
      <c r="E42" s="463"/>
      <c r="F42" s="463"/>
      <c r="G42" s="884" t="s">
        <v>350</v>
      </c>
      <c r="H42" s="885"/>
      <c r="I42" s="886"/>
    </row>
    <row r="43" spans="1:11" ht="15.75" thickBot="1">
      <c r="A43" s="850"/>
      <c r="B43" s="852"/>
      <c r="C43" s="853"/>
      <c r="D43" s="853"/>
      <c r="E43" s="853"/>
      <c r="F43" s="853"/>
      <c r="G43" s="853"/>
      <c r="H43" s="853"/>
      <c r="I43" s="854"/>
      <c r="J43" s="233"/>
      <c r="K43" s="233"/>
    </row>
    <row r="44" spans="1:11" ht="15.75">
      <c r="A44" s="850"/>
      <c r="B44" s="449" t="s">
        <v>249</v>
      </c>
      <c r="C44" s="449"/>
      <c r="D44" s="449"/>
      <c r="E44" s="449"/>
      <c r="F44" s="449"/>
      <c r="G44" s="875" t="s">
        <v>215</v>
      </c>
      <c r="H44" s="876"/>
      <c r="I44" s="877"/>
    </row>
    <row r="45" spans="1:11">
      <c r="A45" s="850"/>
      <c r="B45" s="450" t="s">
        <v>250</v>
      </c>
      <c r="C45" s="450"/>
      <c r="D45" s="450"/>
      <c r="E45" s="450"/>
      <c r="F45" s="450"/>
      <c r="G45" s="878"/>
      <c r="H45" s="879"/>
      <c r="I45" s="880"/>
    </row>
    <row r="46" spans="1:11">
      <c r="A46" s="850"/>
      <c r="B46" s="464" t="s">
        <v>212</v>
      </c>
      <c r="C46" s="464"/>
      <c r="D46" s="464"/>
      <c r="E46" s="464"/>
      <c r="F46" s="464"/>
      <c r="G46" s="881" t="s">
        <v>213</v>
      </c>
      <c r="H46" s="882"/>
      <c r="I46" s="883"/>
    </row>
    <row r="47" spans="1:11" ht="15.75" thickBot="1">
      <c r="A47" s="851"/>
      <c r="B47" s="260" t="s">
        <v>373</v>
      </c>
      <c r="C47" s="260"/>
      <c r="D47" s="260"/>
      <c r="E47" s="260"/>
      <c r="F47" s="260"/>
      <c r="G47" s="884" t="s">
        <v>214</v>
      </c>
      <c r="H47" s="885"/>
      <c r="I47" s="886"/>
    </row>
  </sheetData>
  <sheetProtection sheet="1" objects="1" scenarios="1"/>
  <mergeCells count="42">
    <mergeCell ref="G39:I39"/>
    <mergeCell ref="G35:I35"/>
    <mergeCell ref="G37:I37"/>
    <mergeCell ref="G38:I38"/>
    <mergeCell ref="G32:I32"/>
    <mergeCell ref="G33:I33"/>
    <mergeCell ref="G34:I34"/>
    <mergeCell ref="G44:I45"/>
    <mergeCell ref="G46:I46"/>
    <mergeCell ref="G47:I47"/>
    <mergeCell ref="G40:I40"/>
    <mergeCell ref="G41:I41"/>
    <mergeCell ref="G42:I42"/>
    <mergeCell ref="B12:B13"/>
    <mergeCell ref="C12:C13"/>
    <mergeCell ref="D12:D13"/>
    <mergeCell ref="E12:E13"/>
    <mergeCell ref="F12:F13"/>
    <mergeCell ref="E16:E17"/>
    <mergeCell ref="F16:F17"/>
    <mergeCell ref="G4:G5"/>
    <mergeCell ref="H4:H5"/>
    <mergeCell ref="I4:I5"/>
    <mergeCell ref="G12:G13"/>
    <mergeCell ref="H12:H13"/>
    <mergeCell ref="I12:I13"/>
    <mergeCell ref="B3:I3"/>
    <mergeCell ref="B31:I31"/>
    <mergeCell ref="B30:I30"/>
    <mergeCell ref="A1:A27"/>
    <mergeCell ref="A30:A47"/>
    <mergeCell ref="B36:I36"/>
    <mergeCell ref="B43:I43"/>
    <mergeCell ref="B1:I2"/>
    <mergeCell ref="B25:I26"/>
    <mergeCell ref="G16:G17"/>
    <mergeCell ref="H16:H17"/>
    <mergeCell ref="I16:I17"/>
    <mergeCell ref="H20:H21"/>
    <mergeCell ref="B16:B17"/>
    <mergeCell ref="C16:C17"/>
    <mergeCell ref="D16:D17"/>
  </mergeCells>
  <phoneticPr fontId="7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23"/>
  <sheetViews>
    <sheetView view="pageBreakPreview" zoomScale="85" zoomScaleSheetLayoutView="85" workbookViewId="0">
      <selection activeCell="A112" sqref="A112:E112"/>
    </sheetView>
  </sheetViews>
  <sheetFormatPr defaultColWidth="8.85546875" defaultRowHeight="15"/>
  <cols>
    <col min="1" max="4" width="13.28515625" style="2" customWidth="1"/>
    <col min="5" max="5" width="14.140625" style="2" customWidth="1"/>
    <col min="6" max="9" width="13.28515625" style="2" customWidth="1"/>
    <col min="10" max="10" width="9.28515625" style="2" bestFit="1" customWidth="1"/>
    <col min="11" max="16384" width="8.85546875" style="2"/>
  </cols>
  <sheetData>
    <row r="1" spans="1:22" ht="23.1" customHeight="1">
      <c r="A1" s="1053" t="s">
        <v>19</v>
      </c>
      <c r="B1" s="1054"/>
      <c r="C1" s="1054"/>
      <c r="D1" s="1054"/>
      <c r="E1" s="1054"/>
      <c r="F1" s="1054"/>
      <c r="G1" s="1054"/>
      <c r="H1" s="1054"/>
      <c r="I1" s="1055"/>
      <c r="J1" s="39"/>
    </row>
    <row r="2" spans="1:22" ht="23.1" customHeight="1">
      <c r="A2" s="1067" t="s">
        <v>6</v>
      </c>
      <c r="B2" s="1068"/>
      <c r="C2" s="1068"/>
      <c r="D2" s="1068"/>
      <c r="E2" s="1068"/>
      <c r="F2" s="1068"/>
      <c r="G2" s="1068"/>
      <c r="H2" s="1068"/>
      <c r="I2" s="1069"/>
    </row>
    <row r="3" spans="1:22" ht="24" customHeight="1" thickBot="1">
      <c r="A3" s="1085" t="str">
        <f>'Forside 1'!A6:I6</f>
        <v>Gældende fra 1. november 2025</v>
      </c>
      <c r="B3" s="1086"/>
      <c r="C3" s="1086"/>
      <c r="D3" s="1086"/>
      <c r="E3" s="1086"/>
      <c r="F3" s="1086"/>
      <c r="G3" s="1086"/>
      <c r="H3" s="1086"/>
      <c r="I3" s="1087"/>
      <c r="N3" s="57"/>
      <c r="O3" s="57"/>
      <c r="P3" s="57"/>
      <c r="Q3" s="57"/>
      <c r="R3" s="57"/>
      <c r="S3" s="57"/>
      <c r="T3" s="57"/>
      <c r="U3" s="57"/>
      <c r="V3" s="57"/>
    </row>
    <row r="4" spans="1:22" ht="20.100000000000001" customHeight="1" thickBot="1">
      <c r="A4" s="41"/>
      <c r="B4" s="41"/>
      <c r="C4" s="41"/>
      <c r="D4" s="41"/>
      <c r="E4" s="41"/>
      <c r="F4" s="41"/>
      <c r="G4" s="41"/>
      <c r="H4" s="41"/>
      <c r="I4" s="41"/>
      <c r="N4" s="1084"/>
      <c r="O4" s="1084"/>
      <c r="P4" s="1084"/>
      <c r="Q4" s="1084"/>
      <c r="R4" s="1084"/>
      <c r="S4" s="1084"/>
      <c r="T4" s="1084"/>
      <c r="U4" s="1084"/>
      <c r="V4" s="1084"/>
    </row>
    <row r="5" spans="1:22" ht="20.100000000000001" customHeight="1">
      <c r="A5" s="944" t="s">
        <v>220</v>
      </c>
      <c r="B5" s="945"/>
      <c r="C5" s="945"/>
      <c r="D5" s="945"/>
      <c r="E5" s="945"/>
      <c r="F5" s="945"/>
      <c r="G5" s="945"/>
      <c r="H5" s="946"/>
      <c r="I5" s="62"/>
      <c r="N5" s="57"/>
      <c r="O5" s="57"/>
      <c r="P5" s="57"/>
      <c r="Q5" s="57"/>
      <c r="R5" s="57"/>
      <c r="S5" s="57"/>
      <c r="T5" s="57"/>
      <c r="U5" s="57"/>
      <c r="V5" s="57"/>
    </row>
    <row r="6" spans="1:22" ht="20.100000000000001" customHeight="1" thickBot="1">
      <c r="A6" s="999" t="s">
        <v>319</v>
      </c>
      <c r="B6" s="1000"/>
      <c r="C6" s="1000"/>
      <c r="D6" s="1000"/>
      <c r="E6" s="1000"/>
      <c r="F6" s="1000"/>
      <c r="G6" s="1000"/>
      <c r="H6" s="1001"/>
      <c r="I6" s="62"/>
      <c r="N6" s="57"/>
      <c r="O6" s="57"/>
      <c r="P6" s="57"/>
      <c r="Q6" s="57"/>
      <c r="R6" s="57"/>
      <c r="S6" s="57"/>
      <c r="T6" s="57"/>
      <c r="U6" s="57"/>
      <c r="V6" s="57"/>
    </row>
    <row r="7" spans="1:22" ht="24" customHeight="1" thickBot="1">
      <c r="A7" s="1094" t="s">
        <v>91</v>
      </c>
      <c r="B7" s="1091" t="s">
        <v>0</v>
      </c>
      <c r="C7" s="988" t="s">
        <v>4</v>
      </c>
      <c r="D7" s="988"/>
      <c r="E7" s="1024"/>
      <c r="F7" s="1088" t="s">
        <v>5</v>
      </c>
      <c r="G7" s="1089"/>
      <c r="H7" s="1090"/>
      <c r="I7" s="63"/>
    </row>
    <row r="8" spans="1:22" ht="30">
      <c r="A8" s="1095"/>
      <c r="B8" s="1092"/>
      <c r="C8" s="306" t="s">
        <v>128</v>
      </c>
      <c r="D8" s="306" t="s">
        <v>292</v>
      </c>
      <c r="E8" s="306" t="s">
        <v>239</v>
      </c>
      <c r="F8" s="306" t="s">
        <v>128</v>
      </c>
      <c r="G8" s="306" t="s">
        <v>292</v>
      </c>
      <c r="H8" s="306" t="s">
        <v>239</v>
      </c>
      <c r="I8" s="50"/>
    </row>
    <row r="9" spans="1:22" ht="18" customHeight="1" thickBot="1">
      <c r="A9" s="1096"/>
      <c r="B9" s="1093"/>
      <c r="C9" s="307">
        <v>40999</v>
      </c>
      <c r="D9" s="307" t="str">
        <f>'Løntabel gældende fra'!$D$1</f>
        <v>01/11/25</v>
      </c>
      <c r="E9" s="307" t="str">
        <f>'Løntabel gældende fra'!$D$1</f>
        <v>01/11/25</v>
      </c>
      <c r="F9" s="308">
        <v>40999</v>
      </c>
      <c r="G9" s="307" t="str">
        <f>'Løntabel gældende fra'!$D$1</f>
        <v>01/11/25</v>
      </c>
      <c r="H9" s="307" t="str">
        <f>'Løntabel gældende fra'!$D$1</f>
        <v>01/11/25</v>
      </c>
      <c r="I9" s="61"/>
    </row>
    <row r="10" spans="1:22" ht="15" customHeight="1">
      <c r="A10" s="311" t="s">
        <v>1</v>
      </c>
      <c r="B10" s="312">
        <v>1</v>
      </c>
      <c r="C10" s="133">
        <v>279695</v>
      </c>
      <c r="D10" s="740">
        <f>ROUND(C10+(C10*'Løntabel gældende fra'!$D$7%),2)</f>
        <v>349374.3</v>
      </c>
      <c r="E10" s="729">
        <f>ROUND(D10/12,2)</f>
        <v>29114.53</v>
      </c>
      <c r="F10" s="133">
        <v>272188</v>
      </c>
      <c r="G10" s="134">
        <f>ROUND(F10+(F10*'Løntabel gældende fra'!$D$7%),2)</f>
        <v>339997.11</v>
      </c>
      <c r="H10" s="729">
        <f>ROUND(G10/12,2)</f>
        <v>28333.09</v>
      </c>
      <c r="I10" s="10"/>
    </row>
    <row r="11" spans="1:22" ht="15" customHeight="1">
      <c r="A11" s="313" t="s">
        <v>51</v>
      </c>
      <c r="B11" s="314">
        <v>2</v>
      </c>
      <c r="C11" s="135">
        <v>298044</v>
      </c>
      <c r="D11" s="406">
        <f>ROUND(C11+(C11*'Løntabel gældende fra'!$D$7%),2)</f>
        <v>372294.51</v>
      </c>
      <c r="E11" s="730">
        <f t="shared" ref="E11:E13" si="0">ROUND(D11/12,2)</f>
        <v>31024.54</v>
      </c>
      <c r="F11" s="135">
        <v>285295</v>
      </c>
      <c r="G11" s="137">
        <f>ROUND(F11+(F11*'Løntabel gældende fra'!$D$7%),2)</f>
        <v>356369.4</v>
      </c>
      <c r="H11" s="730">
        <f t="shared" ref="H11:H13" si="1">ROUND(G11/12,2)</f>
        <v>29697.45</v>
      </c>
      <c r="I11" s="10"/>
    </row>
    <row r="12" spans="1:22" ht="15" customHeight="1">
      <c r="A12" s="313" t="s">
        <v>2</v>
      </c>
      <c r="B12" s="314">
        <v>3</v>
      </c>
      <c r="C12" s="135">
        <v>325699</v>
      </c>
      <c r="D12" s="406">
        <f>ROUND(C12+(C12*'Løntabel gældende fra'!$D$7%),2)</f>
        <v>406839.09</v>
      </c>
      <c r="E12" s="730">
        <f t="shared" si="0"/>
        <v>33903.26</v>
      </c>
      <c r="F12" s="135">
        <v>295911</v>
      </c>
      <c r="G12" s="137">
        <f>ROUND(F12+(F12*'Løntabel gældende fra'!$D$7%),2)</f>
        <v>369630.12</v>
      </c>
      <c r="H12" s="730">
        <f t="shared" si="1"/>
        <v>30802.51</v>
      </c>
      <c r="I12" s="10"/>
    </row>
    <row r="13" spans="1:22" ht="15" customHeight="1" thickBot="1">
      <c r="A13" s="315" t="s">
        <v>3</v>
      </c>
      <c r="B13" s="316">
        <v>4</v>
      </c>
      <c r="C13" s="139">
        <v>351388</v>
      </c>
      <c r="D13" s="733">
        <f>ROUND(C13+(C13*'Løntabel gældende fra'!$D$7%),2)</f>
        <v>438927.89</v>
      </c>
      <c r="E13" s="731">
        <f t="shared" si="0"/>
        <v>36577.32</v>
      </c>
      <c r="F13" s="139">
        <v>314654</v>
      </c>
      <c r="G13" s="732">
        <f>ROUND(F13+(F13*'Løntabel gældende fra'!$D$7%),2)</f>
        <v>393042.49</v>
      </c>
      <c r="H13" s="731">
        <f t="shared" si="1"/>
        <v>32753.54</v>
      </c>
      <c r="I13" s="10"/>
    </row>
    <row r="14" spans="1:22" ht="21" customHeight="1" thickBot="1">
      <c r="A14" s="8"/>
      <c r="B14" s="8"/>
      <c r="C14" s="9"/>
      <c r="D14" s="8"/>
      <c r="E14" s="8"/>
      <c r="F14" s="9"/>
      <c r="G14" s="8"/>
      <c r="H14" s="8"/>
      <c r="I14" s="10"/>
    </row>
    <row r="15" spans="1:22" ht="20.100000000000001" customHeight="1">
      <c r="A15" s="944" t="s">
        <v>306</v>
      </c>
      <c r="B15" s="945"/>
      <c r="C15" s="945"/>
      <c r="D15" s="945"/>
      <c r="E15" s="945"/>
      <c r="F15" s="945"/>
      <c r="G15" s="945"/>
      <c r="H15" s="946"/>
      <c r="I15" s="62"/>
    </row>
    <row r="16" spans="1:22" ht="20.100000000000001" customHeight="1" thickBot="1">
      <c r="A16" s="999" t="s">
        <v>320</v>
      </c>
      <c r="B16" s="1000"/>
      <c r="C16" s="1000"/>
      <c r="D16" s="1000"/>
      <c r="E16" s="1000"/>
      <c r="F16" s="1000"/>
      <c r="G16" s="1000"/>
      <c r="H16" s="1001"/>
      <c r="I16" s="62"/>
    </row>
    <row r="17" spans="1:9" ht="23.1" customHeight="1" thickBot="1">
      <c r="A17" s="949" t="s">
        <v>11</v>
      </c>
      <c r="B17" s="950"/>
      <c r="C17" s="987" t="s">
        <v>4</v>
      </c>
      <c r="D17" s="988"/>
      <c r="E17" s="1024"/>
      <c r="F17" s="1088" t="s">
        <v>5</v>
      </c>
      <c r="G17" s="1089"/>
      <c r="H17" s="1090"/>
      <c r="I17" s="63"/>
    </row>
    <row r="18" spans="1:9">
      <c r="A18" s="1062"/>
      <c r="B18" s="1063"/>
      <c r="C18" s="947" t="s">
        <v>199</v>
      </c>
      <c r="D18" s="306" t="s">
        <v>95</v>
      </c>
      <c r="E18" s="306" t="s">
        <v>291</v>
      </c>
      <c r="F18" s="947" t="s">
        <v>199</v>
      </c>
      <c r="G18" s="306" t="s">
        <v>96</v>
      </c>
      <c r="H18" s="306" t="s">
        <v>291</v>
      </c>
      <c r="I18" s="11"/>
    </row>
    <row r="19" spans="1:9" ht="15.75" thickBot="1">
      <c r="A19" s="1062"/>
      <c r="B19" s="1063"/>
      <c r="C19" s="965"/>
      <c r="D19" s="309">
        <v>40999</v>
      </c>
      <c r="E19" s="310" t="str">
        <f>'Løntabel gældende fra'!$D$1</f>
        <v>01/11/25</v>
      </c>
      <c r="F19" s="965"/>
      <c r="G19" s="309">
        <v>40999</v>
      </c>
      <c r="H19" s="310" t="str">
        <f>'Løntabel gældende fra'!$D$1</f>
        <v>01/11/25</v>
      </c>
      <c r="I19" s="64"/>
    </row>
    <row r="20" spans="1:9" ht="15" customHeight="1">
      <c r="A20" s="1062"/>
      <c r="B20" s="1064"/>
      <c r="C20" s="141" t="s">
        <v>43</v>
      </c>
      <c r="D20" s="142">
        <v>16.38</v>
      </c>
      <c r="E20" s="136">
        <f>ROUND(D20+(D20*'Løntabel gældende fra'!$D$7%),2)</f>
        <v>20.46</v>
      </c>
      <c r="F20" s="143" t="s">
        <v>47</v>
      </c>
      <c r="G20" s="144">
        <v>22.4054</v>
      </c>
      <c r="H20" s="136">
        <f>ROUND(G20+(G20*'Løntabel gældende fra'!$D$7%),2)</f>
        <v>27.99</v>
      </c>
      <c r="I20" s="45"/>
    </row>
    <row r="21" spans="1:9" ht="15" customHeight="1">
      <c r="A21" s="1062"/>
      <c r="B21" s="1064"/>
      <c r="C21" s="145" t="s">
        <v>44</v>
      </c>
      <c r="D21" s="137">
        <v>98.3</v>
      </c>
      <c r="E21" s="136">
        <f>ROUND(D21+(D21*'Løntabel gældende fra'!$D$7%),2)</f>
        <v>122.79</v>
      </c>
      <c r="F21" s="146" t="s">
        <v>48</v>
      </c>
      <c r="G21" s="147">
        <v>65.525400000000005</v>
      </c>
      <c r="H21" s="136">
        <f>ROUND(G21+(G21*'Løntabel gældende fra'!$D$7%),2)</f>
        <v>81.849999999999994</v>
      </c>
      <c r="I21" s="45"/>
    </row>
    <row r="22" spans="1:9" ht="15" customHeight="1">
      <c r="A22" s="1062"/>
      <c r="B22" s="1064"/>
      <c r="C22" s="145" t="s">
        <v>45</v>
      </c>
      <c r="D22" s="148">
        <v>131.07</v>
      </c>
      <c r="E22" s="136">
        <f>ROUND(D22+(D22*'Løntabel gældende fra'!$D$7%),2)</f>
        <v>163.72</v>
      </c>
      <c r="F22" s="146" t="s">
        <v>49</v>
      </c>
      <c r="G22" s="147">
        <v>131.07</v>
      </c>
      <c r="H22" s="136">
        <f>ROUND(G22+(G22*'Løntabel gældende fra'!$D$7%),2)</f>
        <v>163.72</v>
      </c>
      <c r="I22" s="45"/>
    </row>
    <row r="23" spans="1:9" ht="15" customHeight="1" thickBot="1">
      <c r="A23" s="1065"/>
      <c r="B23" s="1066"/>
      <c r="C23" s="149" t="s">
        <v>46</v>
      </c>
      <c r="D23" s="150">
        <v>163.83000000000001</v>
      </c>
      <c r="E23" s="140">
        <f>ROUND(D23+(D23*'Løntabel gældende fra'!$D$7%),2)</f>
        <v>204.64</v>
      </c>
      <c r="F23" s="151" t="s">
        <v>50</v>
      </c>
      <c r="G23" s="152">
        <v>163.82830000000001</v>
      </c>
      <c r="H23" s="140">
        <f>ROUND(G23+(G23*'Løntabel gældende fra'!$D$7%),2)</f>
        <v>204.64</v>
      </c>
      <c r="I23" s="45"/>
    </row>
    <row r="24" spans="1:9" s="113" customFormat="1" ht="21" customHeight="1" thickBot="1">
      <c r="A24" s="109"/>
      <c r="B24" s="109"/>
      <c r="C24" s="110"/>
      <c r="D24" s="111"/>
      <c r="E24" s="111"/>
      <c r="F24" s="110"/>
      <c r="G24" s="111"/>
      <c r="H24" s="111"/>
      <c r="I24" s="112"/>
    </row>
    <row r="25" spans="1:9" ht="20.100000000000001" customHeight="1">
      <c r="A25" s="1007" t="s">
        <v>205</v>
      </c>
      <c r="B25" s="1080"/>
      <c r="C25" s="1080"/>
      <c r="D25" s="1080"/>
      <c r="E25" s="1080"/>
      <c r="F25" s="1080"/>
      <c r="G25" s="1080"/>
      <c r="H25" s="1080"/>
      <c r="I25" s="1081"/>
    </row>
    <row r="26" spans="1:9" ht="20.100000000000001" customHeight="1" thickBot="1">
      <c r="A26" s="934" t="str">
        <f>"Indtast det årlige timetal i de gule felter. Arket beregner derefter det månedlige undervisningstillæg pr. "&amp;'Løntabel gældende fra'!D1&amp;""</f>
        <v>Indtast det årlige timetal i de gule felter. Arket beregner derefter det månedlige undervisningstillæg pr. 01/11/25</v>
      </c>
      <c r="B26" s="935"/>
      <c r="C26" s="935"/>
      <c r="D26" s="935"/>
      <c r="E26" s="935"/>
      <c r="F26" s="935"/>
      <c r="G26" s="935"/>
      <c r="H26" s="935"/>
      <c r="I26" s="936"/>
    </row>
    <row r="27" spans="1:9" ht="24" customHeight="1">
      <c r="A27" s="1060"/>
      <c r="B27" s="1061"/>
      <c r="C27" s="1057" t="s">
        <v>4</v>
      </c>
      <c r="D27" s="1057"/>
      <c r="E27" s="1058"/>
      <c r="F27" s="1056" t="s">
        <v>5</v>
      </c>
      <c r="G27" s="1057"/>
      <c r="H27" s="1057"/>
      <c r="I27" s="1058"/>
    </row>
    <row r="28" spans="1:9" ht="20.100000000000001" customHeight="1">
      <c r="A28" s="1072" t="s">
        <v>12</v>
      </c>
      <c r="B28" s="1073"/>
      <c r="C28" s="1074"/>
      <c r="D28" s="1075"/>
      <c r="E28" s="1076"/>
      <c r="F28" s="1074"/>
      <c r="G28" s="1075"/>
      <c r="H28" s="1075"/>
      <c r="I28" s="1076"/>
    </row>
    <row r="29" spans="1:9" ht="32.25" customHeight="1" thickBot="1">
      <c r="A29" s="1070" t="str">
        <f>"Mdr. undervisningstillæg pr. "&amp;'Løntabel gældende fra'!D1&amp;""</f>
        <v>Mdr. undervisningstillæg pr. 01/11/25</v>
      </c>
      <c r="B29" s="1071"/>
      <c r="C29" s="1077">
        <f>ROUND(IF(C28&lt;650,C28*E20,IF(AND(C28&gt;=650,C28&lt;700),650*E20+(C28-650)*E21,IF(AND(C28&gt;=700,C28&lt;750),650*E20+50*E21+(C28-700)*E22,IF(C28&gt;=750,650*E20+50*E21+50*E22+(C28-750)*E23,))))/12,2)</f>
        <v>0</v>
      </c>
      <c r="D29" s="1078" t="e">
        <f t="shared" ref="D29:H29" si="2">IF(D28&lt;750,D28*F20,IF(AND(D28&gt;=750,D28&lt;800),750*F20+(D28-750)*F21,IF(AND(D28&gt;=800,D28&lt;835),750*F20+50*F21+(D28-800)*F22,IF(D28&gt;=835,750*F20+50*F21+35*F22+(D28-835)*F23,))))</f>
        <v>#VALUE!</v>
      </c>
      <c r="E29" s="1079">
        <f t="shared" si="2"/>
        <v>0</v>
      </c>
      <c r="F29" s="1077">
        <f>IF(F28&lt;750,F28*H20,IF(AND(F28&gt;=750,F28&lt;800),750*H20+(F28-750)*H21,IF(AND(F28&gt;=800,F28&lt;835),750*H20+50*H21+(F28-800)*H22,IF(F28&gt;=835,750*H20+50*H21+35*H22+(F28-835)*H23,))))/12</f>
        <v>0</v>
      </c>
      <c r="G29" s="1078">
        <f t="shared" si="2"/>
        <v>0</v>
      </c>
      <c r="H29" s="1078">
        <f t="shared" si="2"/>
        <v>0</v>
      </c>
      <c r="I29" s="1079" t="e">
        <f>IF(I28&lt;750,I28*#REF!,IF(AND(I28&gt;=750,I28&lt;800),750*#REF!+(I28-750)*#REF!,IF(AND(I28&gt;=800,I28&lt;835),750*#REF!+50*#REF!+(I28-800)*#REF!,IF(I28&gt;=835,750*#REF!+50*#REF!+35*#REF!+(I28-835)*#REF!,))))</f>
        <v>#REF!</v>
      </c>
    </row>
    <row r="30" spans="1:9" ht="10.5" customHeight="1" thickBot="1">
      <c r="A30" s="51"/>
      <c r="B30" s="51"/>
      <c r="C30" s="8"/>
      <c r="D30" s="8"/>
      <c r="E30" s="8"/>
      <c r="F30" s="8"/>
      <c r="G30" s="8"/>
      <c r="H30" s="8"/>
      <c r="I30" s="8"/>
    </row>
    <row r="31" spans="1:9" ht="20.100000000000001" customHeight="1">
      <c r="A31" s="1099" t="s">
        <v>263</v>
      </c>
      <c r="B31" s="1100"/>
      <c r="C31" s="1100"/>
      <c r="D31" s="1100"/>
      <c r="E31" s="1100"/>
      <c r="F31" s="1100"/>
      <c r="G31" s="1100"/>
      <c r="H31" s="1100"/>
      <c r="I31" s="1101"/>
    </row>
    <row r="32" spans="1:9" ht="20.100000000000001" customHeight="1">
      <c r="A32" s="1102" t="s">
        <v>206</v>
      </c>
      <c r="B32" s="1103"/>
      <c r="C32" s="1103"/>
      <c r="D32" s="1103"/>
      <c r="E32" s="1103"/>
      <c r="F32" s="1103"/>
      <c r="G32" s="1103"/>
      <c r="H32" s="1103"/>
      <c r="I32" s="1104"/>
    </row>
    <row r="33" spans="1:9" ht="20.100000000000001" customHeight="1" thickBot="1">
      <c r="A33" s="1109" t="s">
        <v>271</v>
      </c>
      <c r="B33" s="1110"/>
      <c r="C33" s="1110"/>
      <c r="D33" s="1110"/>
      <c r="E33" s="1110"/>
      <c r="F33" s="1110"/>
      <c r="G33" s="1110"/>
      <c r="H33" s="1110"/>
      <c r="I33" s="1111"/>
    </row>
    <row r="34" spans="1:9" ht="24" customHeight="1" thickBot="1">
      <c r="A34" s="948" t="s">
        <v>99</v>
      </c>
      <c r="B34" s="1097" t="s">
        <v>4</v>
      </c>
      <c r="C34" s="1097"/>
      <c r="D34" s="1097"/>
      <c r="E34" s="1098"/>
      <c r="F34" s="1121" t="s">
        <v>5</v>
      </c>
      <c r="G34" s="1097"/>
      <c r="H34" s="1097"/>
      <c r="I34" s="1098"/>
    </row>
    <row r="35" spans="1:9" ht="24" customHeight="1" thickBot="1">
      <c r="A35" s="965"/>
      <c r="B35" s="407" t="s">
        <v>7</v>
      </c>
      <c r="C35" s="408" t="s">
        <v>8</v>
      </c>
      <c r="D35" s="407" t="s">
        <v>10</v>
      </c>
      <c r="E35" s="409" t="s">
        <v>9</v>
      </c>
      <c r="F35" s="410" t="s">
        <v>7</v>
      </c>
      <c r="G35" s="411" t="s">
        <v>8</v>
      </c>
      <c r="H35" s="341" t="s">
        <v>10</v>
      </c>
      <c r="I35" s="412" t="s">
        <v>9</v>
      </c>
    </row>
    <row r="36" spans="1:9" ht="15" customHeight="1">
      <c r="A36" s="317">
        <v>1</v>
      </c>
      <c r="B36" s="401">
        <v>325</v>
      </c>
      <c r="C36" s="404">
        <v>575</v>
      </c>
      <c r="D36" s="401">
        <v>900</v>
      </c>
      <c r="E36" s="154">
        <v>1150</v>
      </c>
      <c r="F36" s="406">
        <v>375</v>
      </c>
      <c r="G36" s="158">
        <v>625</v>
      </c>
      <c r="H36" s="328">
        <v>1000</v>
      </c>
      <c r="I36" s="158">
        <v>1250</v>
      </c>
    </row>
    <row r="37" spans="1:9" ht="15" customHeight="1">
      <c r="A37" s="318">
        <v>2</v>
      </c>
      <c r="B37" s="402">
        <v>275</v>
      </c>
      <c r="C37" s="404">
        <v>475</v>
      </c>
      <c r="D37" s="402">
        <v>750</v>
      </c>
      <c r="E37" s="154">
        <v>950</v>
      </c>
      <c r="F37" s="326">
        <v>325</v>
      </c>
      <c r="G37" s="176">
        <v>575</v>
      </c>
      <c r="H37" s="331">
        <v>900</v>
      </c>
      <c r="I37" s="176">
        <v>1150</v>
      </c>
    </row>
    <row r="38" spans="1:9" ht="15" customHeight="1">
      <c r="A38" s="318">
        <v>3</v>
      </c>
      <c r="B38" s="402">
        <v>175</v>
      </c>
      <c r="C38" s="404">
        <v>325</v>
      </c>
      <c r="D38" s="402">
        <v>500</v>
      </c>
      <c r="E38" s="154">
        <v>625</v>
      </c>
      <c r="F38" s="326">
        <v>300</v>
      </c>
      <c r="G38" s="176">
        <v>525</v>
      </c>
      <c r="H38" s="331">
        <v>825</v>
      </c>
      <c r="I38" s="176">
        <v>1050</v>
      </c>
    </row>
    <row r="39" spans="1:9" ht="15" customHeight="1" thickBot="1">
      <c r="A39" s="319">
        <v>4</v>
      </c>
      <c r="B39" s="403">
        <v>175</v>
      </c>
      <c r="C39" s="405">
        <v>325</v>
      </c>
      <c r="D39" s="403">
        <v>500</v>
      </c>
      <c r="E39" s="155">
        <v>625</v>
      </c>
      <c r="F39" s="332">
        <v>300</v>
      </c>
      <c r="G39" s="159">
        <v>525</v>
      </c>
      <c r="H39" s="329">
        <v>825</v>
      </c>
      <c r="I39" s="159">
        <v>1050</v>
      </c>
    </row>
    <row r="40" spans="1:9" ht="24" customHeight="1" thickBot="1">
      <c r="A40" s="52"/>
      <c r="B40" s="52"/>
      <c r="C40" s="8"/>
      <c r="D40" s="8"/>
      <c r="E40" s="8"/>
      <c r="F40" s="8"/>
      <c r="G40" s="8"/>
      <c r="H40" s="8"/>
      <c r="I40" s="8"/>
    </row>
    <row r="41" spans="1:9" ht="20.100000000000001" customHeight="1">
      <c r="A41" s="1007" t="s">
        <v>264</v>
      </c>
      <c r="B41" s="1080"/>
      <c r="C41" s="1080"/>
      <c r="D41" s="1080"/>
      <c r="E41" s="1080"/>
      <c r="F41" s="1080"/>
      <c r="G41" s="1081"/>
      <c r="H41" s="58"/>
      <c r="I41" s="7"/>
    </row>
    <row r="42" spans="1:9" ht="20.100000000000001" customHeight="1" thickBot="1">
      <c r="A42" s="934" t="s">
        <v>272</v>
      </c>
      <c r="B42" s="935"/>
      <c r="C42" s="935"/>
      <c r="D42" s="935"/>
      <c r="E42" s="935"/>
      <c r="F42" s="935"/>
      <c r="G42" s="936"/>
      <c r="H42" s="58"/>
      <c r="I42" s="7"/>
    </row>
    <row r="43" spans="1:9" ht="12.95" customHeight="1">
      <c r="A43" s="947" t="s">
        <v>0</v>
      </c>
      <c r="B43" s="987" t="s">
        <v>128</v>
      </c>
      <c r="C43" s="1024"/>
      <c r="D43" s="987" t="s">
        <v>292</v>
      </c>
      <c r="E43" s="988"/>
      <c r="F43" s="987" t="s">
        <v>239</v>
      </c>
      <c r="G43" s="1024"/>
      <c r="H43" s="42"/>
      <c r="I43" s="7"/>
    </row>
    <row r="44" spans="1:9" ht="14.1" customHeight="1" thickBot="1">
      <c r="A44" s="965"/>
      <c r="B44" s="1059">
        <f>$D$19</f>
        <v>40999</v>
      </c>
      <c r="C44" s="1025"/>
      <c r="D44" s="1059" t="str">
        <f>'Løntabel gældende fra'!$D$1</f>
        <v>01/11/25</v>
      </c>
      <c r="E44" s="990"/>
      <c r="F44" s="1059" t="str">
        <f>'Løntabel gældende fra'!$D$1</f>
        <v>01/11/25</v>
      </c>
      <c r="G44" s="1025"/>
      <c r="H44" s="42"/>
      <c r="I44" s="7"/>
    </row>
    <row r="45" spans="1:9" ht="15" customHeight="1">
      <c r="A45" s="317">
        <v>1</v>
      </c>
      <c r="B45" s="1010">
        <v>5200</v>
      </c>
      <c r="C45" s="1010"/>
      <c r="D45" s="1016">
        <f>ROUND(B45+(B45*'Løntabel gældende fra'!$D$7%),2)</f>
        <v>6495.46</v>
      </c>
      <c r="E45" s="1017"/>
      <c r="F45" s="967">
        <f>ROUND(D45/12,2)</f>
        <v>541.29</v>
      </c>
      <c r="G45" s="968"/>
      <c r="H45" s="10"/>
      <c r="I45" s="7"/>
    </row>
    <row r="46" spans="1:9" ht="15" customHeight="1">
      <c r="A46" s="318">
        <v>2</v>
      </c>
      <c r="B46" s="927">
        <v>7900</v>
      </c>
      <c r="C46" s="927"/>
      <c r="D46" s="1129">
        <f>ROUND(B46+(B46*'Løntabel gældende fra'!$D$7%),2)</f>
        <v>9868.1</v>
      </c>
      <c r="E46" s="1011"/>
      <c r="F46" s="928">
        <f>ROUND(D46/12,2)</f>
        <v>822.34</v>
      </c>
      <c r="G46" s="929"/>
      <c r="H46" s="10"/>
      <c r="I46" s="7"/>
    </row>
    <row r="47" spans="1:9" ht="15" customHeight="1" thickBot="1">
      <c r="A47" s="319">
        <v>3</v>
      </c>
      <c r="B47" s="976">
        <v>7900</v>
      </c>
      <c r="C47" s="976"/>
      <c r="D47" s="1128">
        <f>ROUND(B47+(B47*'Løntabel gældende fra'!$D$7%),2)</f>
        <v>9868.1</v>
      </c>
      <c r="E47" s="1012"/>
      <c r="F47" s="977">
        <f>ROUND(D47/12,2)</f>
        <v>822.34</v>
      </c>
      <c r="G47" s="978"/>
      <c r="H47" s="10"/>
      <c r="I47" s="7"/>
    </row>
    <row r="48" spans="1:9" s="57" customFormat="1" ht="24" customHeight="1" thickBot="1">
      <c r="A48" s="42"/>
      <c r="B48" s="54"/>
      <c r="C48" s="42"/>
      <c r="D48" s="55"/>
      <c r="E48" s="42"/>
      <c r="F48" s="55"/>
      <c r="G48" s="42"/>
      <c r="H48" s="42"/>
      <c r="I48" s="56"/>
    </row>
    <row r="49" spans="1:17" ht="20.100000000000001" customHeight="1">
      <c r="A49" s="1007" t="s">
        <v>318</v>
      </c>
      <c r="B49" s="1008"/>
      <c r="C49" s="1008"/>
      <c r="D49" s="1008"/>
      <c r="E49" s="1008"/>
      <c r="F49" s="1008"/>
      <c r="G49" s="1009"/>
      <c r="H49" s="59"/>
      <c r="K49" s="16"/>
      <c r="L49" s="16"/>
      <c r="M49" s="16"/>
      <c r="N49" s="16"/>
      <c r="O49" s="16"/>
      <c r="P49" s="16"/>
      <c r="Q49" s="16"/>
    </row>
    <row r="50" spans="1:17" ht="20.100000000000001" customHeight="1" thickBot="1">
      <c r="A50" s="934" t="s">
        <v>273</v>
      </c>
      <c r="B50" s="935"/>
      <c r="C50" s="935"/>
      <c r="D50" s="935"/>
      <c r="E50" s="935"/>
      <c r="F50" s="935"/>
      <c r="G50" s="936"/>
      <c r="H50" s="59"/>
      <c r="K50" s="16"/>
      <c r="L50" s="16"/>
      <c r="M50" s="16"/>
      <c r="N50" s="16"/>
      <c r="O50" s="16"/>
      <c r="P50" s="16"/>
      <c r="Q50" s="16"/>
    </row>
    <row r="51" spans="1:17" ht="15.95" customHeight="1">
      <c r="A51" s="947" t="s">
        <v>0</v>
      </c>
      <c r="B51" s="930" t="s">
        <v>128</v>
      </c>
      <c r="C51" s="931"/>
      <c r="D51" s="930" t="s">
        <v>292</v>
      </c>
      <c r="E51" s="931"/>
      <c r="F51" s="930" t="s">
        <v>239</v>
      </c>
      <c r="G51" s="931"/>
      <c r="H51" s="42"/>
      <c r="K51" s="16"/>
      <c r="L51" s="16"/>
      <c r="M51" s="16"/>
      <c r="N51" s="16"/>
      <c r="O51" s="16"/>
      <c r="P51" s="16"/>
      <c r="Q51" s="16"/>
    </row>
    <row r="52" spans="1:17" ht="15.95" customHeight="1" thickBot="1">
      <c r="A52" s="948"/>
      <c r="B52" s="932">
        <f>C9</f>
        <v>40999</v>
      </c>
      <c r="C52" s="933"/>
      <c r="D52" s="1108" t="str">
        <f>'Løntabel gældende fra'!D1</f>
        <v>01/11/25</v>
      </c>
      <c r="E52" s="933"/>
      <c r="F52" s="1108" t="str">
        <f>'Løntabel gældende fra'!D1</f>
        <v>01/11/25</v>
      </c>
      <c r="G52" s="933"/>
      <c r="H52" s="42"/>
      <c r="K52" s="16"/>
      <c r="L52" s="16"/>
      <c r="M52" s="16"/>
      <c r="N52" s="16"/>
      <c r="O52" s="16"/>
      <c r="P52" s="16"/>
      <c r="Q52" s="16"/>
    </row>
    <row r="53" spans="1:17" ht="15" customHeight="1">
      <c r="A53" s="317">
        <v>1</v>
      </c>
      <c r="B53" s="1018">
        <v>2800</v>
      </c>
      <c r="C53" s="1018"/>
      <c r="D53" s="1005">
        <f>ROUND(B53+(B53*'Løntabel gældende fra'!$D$7%),2)</f>
        <v>3497.55</v>
      </c>
      <c r="E53" s="1006"/>
      <c r="F53" s="1016">
        <f>ROUND(D53/12,2)</f>
        <v>291.45999999999998</v>
      </c>
      <c r="G53" s="1017"/>
      <c r="H53" s="10"/>
      <c r="K53" s="16"/>
      <c r="L53" s="16"/>
      <c r="M53" s="16"/>
      <c r="N53" s="16"/>
      <c r="O53" s="16"/>
      <c r="P53" s="16"/>
      <c r="Q53" s="16"/>
    </row>
    <row r="54" spans="1:17" ht="15" customHeight="1">
      <c r="A54" s="318">
        <v>2</v>
      </c>
      <c r="B54" s="927">
        <v>2800</v>
      </c>
      <c r="C54" s="927"/>
      <c r="D54" s="928">
        <f>ROUND(B54+(B54*'Løntabel gældende fra'!$D$7%),2)</f>
        <v>3497.55</v>
      </c>
      <c r="E54" s="929"/>
      <c r="F54" s="1019">
        <f t="shared" ref="F54:F56" si="3">ROUND(D54/12,2)</f>
        <v>291.45999999999998</v>
      </c>
      <c r="G54" s="1020"/>
      <c r="H54" s="10"/>
      <c r="K54" s="16"/>
      <c r="L54" s="16"/>
      <c r="M54" s="16"/>
      <c r="N54" s="16"/>
      <c r="O54" s="16"/>
      <c r="P54" s="16"/>
      <c r="Q54" s="16"/>
    </row>
    <row r="55" spans="1:17" ht="15" customHeight="1">
      <c r="A55" s="320">
        <v>3</v>
      </c>
      <c r="B55" s="927">
        <v>2800</v>
      </c>
      <c r="C55" s="927"/>
      <c r="D55" s="928">
        <f>ROUND(B55+(B55*'Løntabel gældende fra'!$D$7%),2)</f>
        <v>3497.55</v>
      </c>
      <c r="E55" s="929"/>
      <c r="F55" s="1019">
        <f t="shared" si="3"/>
        <v>291.45999999999998</v>
      </c>
      <c r="G55" s="1020"/>
      <c r="H55" s="10"/>
      <c r="K55" s="16"/>
      <c r="L55" s="16"/>
      <c r="M55" s="16"/>
      <c r="N55" s="16"/>
      <c r="O55" s="16"/>
      <c r="P55" s="16"/>
      <c r="Q55" s="16"/>
    </row>
    <row r="56" spans="1:17" ht="15" customHeight="1" thickBot="1">
      <c r="A56" s="319">
        <v>4</v>
      </c>
      <c r="B56" s="976">
        <v>2800</v>
      </c>
      <c r="C56" s="976"/>
      <c r="D56" s="977">
        <f>ROUND(B56+(B56*'Løntabel gældende fra'!$D$7%),2)</f>
        <v>3497.55</v>
      </c>
      <c r="E56" s="978"/>
      <c r="F56" s="1128">
        <f t="shared" si="3"/>
        <v>291.45999999999998</v>
      </c>
      <c r="G56" s="1012"/>
      <c r="H56" s="10"/>
      <c r="K56" s="16"/>
      <c r="L56" s="16"/>
      <c r="M56" s="16"/>
      <c r="N56" s="16"/>
      <c r="O56" s="16"/>
      <c r="P56" s="16"/>
      <c r="Q56" s="16"/>
    </row>
    <row r="57" spans="1:17" ht="24.95" customHeight="1" thickBot="1">
      <c r="A57" s="42"/>
      <c r="B57" s="8"/>
      <c r="C57" s="8"/>
      <c r="D57" s="8"/>
      <c r="E57" s="8"/>
      <c r="F57" s="44"/>
      <c r="G57" s="44"/>
      <c r="H57" s="44"/>
      <c r="K57" s="16"/>
      <c r="L57" s="16"/>
      <c r="M57" s="16"/>
      <c r="N57" s="16"/>
      <c r="O57" s="16"/>
      <c r="P57" s="16"/>
      <c r="Q57" s="16"/>
    </row>
    <row r="58" spans="1:17" ht="20.100000000000001" customHeight="1">
      <c r="A58" s="1007" t="s">
        <v>425</v>
      </c>
      <c r="B58" s="1008"/>
      <c r="C58" s="1008"/>
      <c r="D58" s="1008"/>
      <c r="E58" s="1008"/>
      <c r="F58" s="1008"/>
      <c r="G58" s="1009"/>
      <c r="H58" s="59"/>
      <c r="K58" s="16"/>
      <c r="L58" s="16"/>
      <c r="M58" s="16"/>
      <c r="N58" s="16"/>
      <c r="O58" s="16"/>
      <c r="P58" s="16"/>
      <c r="Q58" s="16"/>
    </row>
    <row r="59" spans="1:17" ht="20.100000000000001" customHeight="1" thickBot="1">
      <c r="A59" s="934" t="s">
        <v>273</v>
      </c>
      <c r="B59" s="935"/>
      <c r="C59" s="935"/>
      <c r="D59" s="935"/>
      <c r="E59" s="935"/>
      <c r="F59" s="935"/>
      <c r="G59" s="936"/>
      <c r="H59" s="59"/>
      <c r="K59" s="16"/>
      <c r="L59" s="16"/>
      <c r="M59" s="16"/>
      <c r="N59" s="16"/>
      <c r="O59" s="16"/>
      <c r="P59" s="16"/>
      <c r="Q59" s="16"/>
    </row>
    <row r="60" spans="1:17" ht="15.95" customHeight="1">
      <c r="A60" s="947" t="s">
        <v>0</v>
      </c>
      <c r="B60" s="930" t="s">
        <v>128</v>
      </c>
      <c r="C60" s="931"/>
      <c r="D60" s="930" t="s">
        <v>292</v>
      </c>
      <c r="E60" s="931"/>
      <c r="F60" s="930" t="s">
        <v>239</v>
      </c>
      <c r="G60" s="931"/>
      <c r="H60" s="42"/>
      <c r="K60" s="16"/>
      <c r="L60" s="16"/>
      <c r="M60" s="16"/>
      <c r="N60" s="16"/>
      <c r="O60" s="16"/>
      <c r="P60" s="16"/>
      <c r="Q60" s="16"/>
    </row>
    <row r="61" spans="1:17" ht="15.95" customHeight="1" thickBot="1">
      <c r="A61" s="948"/>
      <c r="B61" s="932">
        <f>B52</f>
        <v>40999</v>
      </c>
      <c r="C61" s="933"/>
      <c r="D61" s="1108" t="str">
        <f>'Løntabel gældende fra'!D1</f>
        <v>01/11/25</v>
      </c>
      <c r="E61" s="933"/>
      <c r="F61" s="1108" t="str">
        <f>'Løntabel gældende fra'!D1</f>
        <v>01/11/25</v>
      </c>
      <c r="G61" s="933"/>
      <c r="H61" s="42"/>
      <c r="K61" s="16"/>
      <c r="L61" s="16"/>
      <c r="M61" s="16"/>
      <c r="N61" s="16"/>
      <c r="O61" s="16"/>
      <c r="P61" s="16"/>
      <c r="Q61" s="16"/>
    </row>
    <row r="62" spans="1:17" ht="15" customHeight="1">
      <c r="A62" s="317">
        <v>1</v>
      </c>
      <c r="B62" s="1018">
        <v>4100</v>
      </c>
      <c r="C62" s="1018"/>
      <c r="D62" s="1005">
        <f>ROUND(B62+(B62*'Løntabel gældende fra'!$D$7%),2)</f>
        <v>5121.42</v>
      </c>
      <c r="E62" s="1006"/>
      <c r="F62" s="1018">
        <f>ROUND(D62/12,2)</f>
        <v>426.79</v>
      </c>
      <c r="G62" s="1017"/>
      <c r="H62" s="10"/>
      <c r="K62" s="16"/>
      <c r="L62" s="16"/>
      <c r="M62" s="16"/>
      <c r="N62" s="16"/>
      <c r="O62" s="16"/>
      <c r="P62" s="16"/>
      <c r="Q62" s="16"/>
    </row>
    <row r="63" spans="1:17" ht="15" customHeight="1">
      <c r="A63" s="318">
        <v>2</v>
      </c>
      <c r="B63" s="927">
        <v>4100</v>
      </c>
      <c r="C63" s="927"/>
      <c r="D63" s="928">
        <f>ROUND(B63+(B63*'Løntabel gældende fra'!$D$7%),2)</f>
        <v>5121.42</v>
      </c>
      <c r="E63" s="929"/>
      <c r="F63" s="1010">
        <f>ROUND(D63/12,2)</f>
        <v>426.79</v>
      </c>
      <c r="G63" s="1011"/>
      <c r="H63" s="10"/>
      <c r="K63" s="16"/>
      <c r="L63" s="16"/>
      <c r="M63" s="16"/>
      <c r="N63" s="16"/>
      <c r="O63" s="16"/>
      <c r="P63" s="16"/>
      <c r="Q63" s="16"/>
    </row>
    <row r="64" spans="1:17" ht="15" customHeight="1">
      <c r="A64" s="320">
        <v>3</v>
      </c>
      <c r="B64" s="927">
        <v>4100</v>
      </c>
      <c r="C64" s="927"/>
      <c r="D64" s="928">
        <f>ROUND(B64+(B64*'Løntabel gældende fra'!$D$7%),2)</f>
        <v>5121.42</v>
      </c>
      <c r="E64" s="929"/>
      <c r="F64" s="1010">
        <f>ROUND(D64/12,2)</f>
        <v>426.79</v>
      </c>
      <c r="G64" s="1011"/>
      <c r="H64" s="10"/>
      <c r="K64" s="16"/>
      <c r="L64" s="16"/>
      <c r="M64" s="16"/>
      <c r="N64" s="16"/>
      <c r="O64" s="16"/>
      <c r="P64" s="16"/>
      <c r="Q64" s="16"/>
    </row>
    <row r="65" spans="1:17" ht="15" customHeight="1" thickBot="1">
      <c r="A65" s="319">
        <v>4</v>
      </c>
      <c r="B65" s="976">
        <v>4100</v>
      </c>
      <c r="C65" s="976"/>
      <c r="D65" s="977">
        <f>ROUND(B65+(B65*'Løntabel gældende fra'!$D$7%),2)</f>
        <v>5121.42</v>
      </c>
      <c r="E65" s="978"/>
      <c r="F65" s="976">
        <f>ROUND(D65/12,2)</f>
        <v>426.79</v>
      </c>
      <c r="G65" s="1012"/>
      <c r="H65" s="10"/>
      <c r="K65" s="16"/>
      <c r="L65" s="16"/>
      <c r="M65" s="16"/>
      <c r="N65" s="16"/>
      <c r="O65" s="16"/>
      <c r="P65" s="16"/>
      <c r="Q65" s="16"/>
    </row>
    <row r="66" spans="1:17" ht="24.95" customHeight="1" thickBot="1">
      <c r="A66" s="42"/>
      <c r="B66" s="8"/>
      <c r="C66" s="8"/>
      <c r="D66" s="8"/>
      <c r="E66" s="8"/>
      <c r="F66" s="44"/>
      <c r="G66" s="44"/>
      <c r="H66" s="44"/>
      <c r="K66" s="16"/>
      <c r="L66" s="16"/>
      <c r="M66" s="16"/>
      <c r="N66" s="16"/>
      <c r="O66" s="16"/>
      <c r="P66" s="16"/>
      <c r="Q66" s="16"/>
    </row>
    <row r="67" spans="1:17" ht="20.100000000000001" customHeight="1">
      <c r="A67" s="944" t="s">
        <v>265</v>
      </c>
      <c r="B67" s="945"/>
      <c r="C67" s="945"/>
      <c r="D67" s="945"/>
      <c r="E67" s="945"/>
      <c r="F67" s="945"/>
      <c r="G67" s="945"/>
      <c r="H67" s="945"/>
      <c r="I67" s="946"/>
    </row>
    <row r="68" spans="1:17" ht="20.100000000000001" customHeight="1" thickBot="1">
      <c r="A68" s="999" t="s">
        <v>274</v>
      </c>
      <c r="B68" s="1000"/>
      <c r="C68" s="1000"/>
      <c r="D68" s="1000"/>
      <c r="E68" s="1000"/>
      <c r="F68" s="1000"/>
      <c r="G68" s="1000"/>
      <c r="H68" s="1000"/>
      <c r="I68" s="1001"/>
    </row>
    <row r="69" spans="1:17" ht="27.95" customHeight="1">
      <c r="A69" s="970" t="s">
        <v>253</v>
      </c>
      <c r="B69" s="971"/>
      <c r="C69" s="971"/>
      <c r="D69" s="971"/>
      <c r="E69" s="971"/>
      <c r="F69" s="972"/>
      <c r="G69" s="300" t="s">
        <v>128</v>
      </c>
      <c r="H69" s="300" t="s">
        <v>98</v>
      </c>
      <c r="I69" s="558" t="s">
        <v>239</v>
      </c>
    </row>
    <row r="70" spans="1:17" ht="15" customHeight="1" thickBot="1">
      <c r="A70" s="970"/>
      <c r="B70" s="971"/>
      <c r="C70" s="971"/>
      <c r="D70" s="971"/>
      <c r="E70" s="971"/>
      <c r="F70" s="972"/>
      <c r="G70" s="301">
        <f>C9</f>
        <v>40999</v>
      </c>
      <c r="H70" s="301">
        <f>C9</f>
        <v>40999</v>
      </c>
      <c r="I70" s="301" t="str">
        <f>'Løntabel gældende fra'!$D$1</f>
        <v>01/11/25</v>
      </c>
    </row>
    <row r="71" spans="1:17" ht="15" customHeight="1" thickBot="1">
      <c r="A71" s="973"/>
      <c r="B71" s="974"/>
      <c r="C71" s="974"/>
      <c r="D71" s="974"/>
      <c r="E71" s="974"/>
      <c r="F71" s="975"/>
      <c r="G71" s="156">
        <v>19300</v>
      </c>
      <c r="H71" s="160">
        <f>ROUND(G71/12,2)</f>
        <v>1608.33</v>
      </c>
      <c r="I71" s="783">
        <f>ROUND(H71+(H71*'Løntabel gældende fra'!$D$7%),2)</f>
        <v>2009.01</v>
      </c>
    </row>
    <row r="72" spans="1:17" ht="24" customHeight="1" thickBot="1">
      <c r="A72" s="7"/>
      <c r="B72" s="7"/>
      <c r="C72" s="7" t="s">
        <v>16</v>
      </c>
      <c r="D72" s="7"/>
      <c r="E72" s="7"/>
      <c r="F72" s="7"/>
      <c r="G72" s="7"/>
      <c r="H72" s="7"/>
      <c r="I72" s="7"/>
    </row>
    <row r="73" spans="1:17" ht="20.100000000000001" customHeight="1">
      <c r="A73" s="944" t="s">
        <v>267</v>
      </c>
      <c r="B73" s="945"/>
      <c r="C73" s="945"/>
      <c r="D73" s="945"/>
      <c r="E73" s="945"/>
      <c r="F73" s="945"/>
      <c r="G73" s="945"/>
      <c r="H73" s="945"/>
      <c r="I73" s="946"/>
    </row>
    <row r="74" spans="1:17" ht="20.100000000000001" customHeight="1" thickBot="1">
      <c r="A74" s="999" t="s">
        <v>266</v>
      </c>
      <c r="B74" s="1000"/>
      <c r="C74" s="1000"/>
      <c r="D74" s="1000"/>
      <c r="E74" s="1000"/>
      <c r="F74" s="1000"/>
      <c r="G74" s="1000"/>
      <c r="H74" s="1000"/>
      <c r="I74" s="1001"/>
    </row>
    <row r="75" spans="1:17" ht="27.95" customHeight="1">
      <c r="A75" s="1122" t="s">
        <v>328</v>
      </c>
      <c r="B75" s="1123"/>
      <c r="C75" s="1123"/>
      <c r="D75" s="1123"/>
      <c r="E75" s="1123"/>
      <c r="F75" s="1123"/>
      <c r="G75" s="1124"/>
      <c r="H75" s="384" t="s">
        <v>293</v>
      </c>
      <c r="I75" s="306" t="s">
        <v>294</v>
      </c>
    </row>
    <row r="76" spans="1:17" ht="33.950000000000003" customHeight="1" thickBot="1">
      <c r="A76" s="1125"/>
      <c r="B76" s="1126"/>
      <c r="C76" s="1126"/>
      <c r="D76" s="1126"/>
      <c r="E76" s="1126"/>
      <c r="F76" s="1126"/>
      <c r="G76" s="1127"/>
      <c r="H76" s="301">
        <f>C9</f>
        <v>40999</v>
      </c>
      <c r="I76" s="301" t="str">
        <f>'Løntabel gældende fra'!$D$1</f>
        <v>01/11/25</v>
      </c>
    </row>
    <row r="77" spans="1:17" ht="15" customHeight="1" thickBot="1">
      <c r="A77" s="1082" t="s">
        <v>14</v>
      </c>
      <c r="B77" s="1083"/>
      <c r="C77" s="1083"/>
      <c r="D77" s="1083"/>
      <c r="E77" s="1083"/>
      <c r="F77" s="1083"/>
      <c r="G77" s="1083"/>
      <c r="H77" s="160">
        <v>19</v>
      </c>
      <c r="I77" s="161">
        <f>ROUND(H77+H77*'Løntabel gældende fra'!$D$7%,2)</f>
        <v>23.73</v>
      </c>
    </row>
    <row r="78" spans="1:17" ht="24" customHeight="1" thickBot="1">
      <c r="A78" s="7"/>
      <c r="B78" s="7"/>
      <c r="C78" s="7"/>
      <c r="D78" s="7"/>
      <c r="E78" s="7"/>
      <c r="F78" s="7"/>
      <c r="G78" s="7"/>
      <c r="H78" s="7"/>
      <c r="I78" s="7"/>
    </row>
    <row r="79" spans="1:17" ht="20.100000000000001" customHeight="1">
      <c r="A79" s="944" t="s">
        <v>393</v>
      </c>
      <c r="B79" s="945"/>
      <c r="C79" s="945"/>
      <c r="D79" s="945"/>
      <c r="E79" s="945"/>
      <c r="F79" s="945"/>
      <c r="G79" s="945"/>
      <c r="H79" s="945"/>
      <c r="I79" s="946"/>
    </row>
    <row r="80" spans="1:17" ht="20.100000000000001" customHeight="1" thickBot="1">
      <c r="A80" s="999" t="s">
        <v>391</v>
      </c>
      <c r="B80" s="1000"/>
      <c r="C80" s="1000"/>
      <c r="D80" s="1000"/>
      <c r="E80" s="1000"/>
      <c r="F80" s="1000"/>
      <c r="G80" s="1000"/>
      <c r="H80" s="1000"/>
      <c r="I80" s="1001"/>
    </row>
    <row r="81" spans="1:22" ht="30.95" customHeight="1">
      <c r="A81" s="1036" t="s">
        <v>394</v>
      </c>
      <c r="B81" s="1037"/>
      <c r="C81" s="1037"/>
      <c r="D81" s="1037"/>
      <c r="E81" s="1037"/>
      <c r="F81" s="1037"/>
      <c r="G81" s="1038"/>
      <c r="H81" s="300" t="s">
        <v>293</v>
      </c>
      <c r="I81" s="558" t="s">
        <v>294</v>
      </c>
    </row>
    <row r="82" spans="1:22" ht="15" customHeight="1" thickBot="1">
      <c r="A82" s="1039"/>
      <c r="B82" s="1040"/>
      <c r="C82" s="1040"/>
      <c r="D82" s="1040"/>
      <c r="E82" s="1040"/>
      <c r="F82" s="1040"/>
      <c r="G82" s="1041"/>
      <c r="H82" s="301">
        <f>H76</f>
        <v>40999</v>
      </c>
      <c r="I82" s="301" t="str">
        <f>'Løntabel gældende fra'!$D$1</f>
        <v>01/11/25</v>
      </c>
    </row>
    <row r="83" spans="1:22" ht="15" customHeight="1" thickBot="1">
      <c r="A83" s="1042" t="s">
        <v>392</v>
      </c>
      <c r="B83" s="1043"/>
      <c r="C83" s="1043"/>
      <c r="D83" s="1043"/>
      <c r="E83" s="1043"/>
      <c r="F83" s="1043"/>
      <c r="G83" s="1044"/>
      <c r="H83" s="156">
        <v>267.31</v>
      </c>
      <c r="I83" s="157">
        <f>ROUND(H83+(H83*'Løntabel gældende fra'!$D$7%),2)</f>
        <v>333.9</v>
      </c>
    </row>
    <row r="84" spans="1:22" ht="15" customHeight="1" thickBot="1">
      <c r="A84" s="1033"/>
      <c r="B84" s="1034"/>
      <c r="C84" s="1034"/>
      <c r="D84" s="1034"/>
      <c r="E84" s="1034"/>
      <c r="F84" s="1034"/>
      <c r="G84" s="1034"/>
      <c r="H84" s="1034"/>
      <c r="I84" s="1035"/>
    </row>
    <row r="85" spans="1:22" ht="27.95" customHeight="1">
      <c r="A85" s="944" t="s">
        <v>268</v>
      </c>
      <c r="B85" s="945"/>
      <c r="C85" s="945"/>
      <c r="D85" s="945"/>
      <c r="E85" s="945"/>
      <c r="F85" s="945"/>
      <c r="G85" s="945"/>
      <c r="H85" s="945"/>
      <c r="I85" s="946"/>
    </row>
    <row r="86" spans="1:22" ht="24.95" customHeight="1" thickBot="1">
      <c r="A86" s="999" t="s">
        <v>266</v>
      </c>
      <c r="B86" s="1000"/>
      <c r="C86" s="1000"/>
      <c r="D86" s="1000"/>
      <c r="E86" s="1000"/>
      <c r="F86" s="1000"/>
      <c r="G86" s="1000"/>
      <c r="H86" s="1000"/>
      <c r="I86" s="1001"/>
      <c r="K86" s="16"/>
      <c r="L86" s="16"/>
      <c r="M86" s="16"/>
      <c r="N86" s="16"/>
      <c r="O86" s="16"/>
      <c r="P86" s="16"/>
      <c r="Q86" s="16"/>
    </row>
    <row r="87" spans="1:22" ht="27.75" customHeight="1">
      <c r="A87" s="1112"/>
      <c r="B87" s="1113"/>
      <c r="C87" s="1113"/>
      <c r="D87" s="1113"/>
      <c r="E87" s="1113"/>
      <c r="F87" s="1113"/>
      <c r="G87" s="1114"/>
      <c r="H87" s="302" t="s">
        <v>95</v>
      </c>
      <c r="I87" s="303" t="s">
        <v>100</v>
      </c>
      <c r="K87" s="16"/>
      <c r="L87" s="16"/>
      <c r="M87" s="16"/>
      <c r="N87" s="16"/>
      <c r="O87" s="16"/>
      <c r="P87" s="16"/>
      <c r="Q87" s="16"/>
    </row>
    <row r="88" spans="1:22" ht="16.5" customHeight="1" thickBot="1">
      <c r="A88" s="1115"/>
      <c r="B88" s="1116"/>
      <c r="C88" s="1116"/>
      <c r="D88" s="1116"/>
      <c r="E88" s="1116"/>
      <c r="F88" s="1116"/>
      <c r="G88" s="1117"/>
      <c r="H88" s="304">
        <f>C9</f>
        <v>40999</v>
      </c>
      <c r="I88" s="301" t="str">
        <f>'Løntabel gældende fra'!$D$1</f>
        <v>01/11/25</v>
      </c>
      <c r="K88" s="16"/>
      <c r="L88" s="16"/>
      <c r="M88" s="16"/>
      <c r="N88" s="16"/>
      <c r="O88" s="16"/>
      <c r="P88" s="16"/>
      <c r="Q88" s="16"/>
    </row>
    <row r="89" spans="1:22" customFormat="1" ht="24" customHeight="1">
      <c r="A89" s="1118" t="s">
        <v>18</v>
      </c>
      <c r="B89" s="1119"/>
      <c r="C89" s="1119"/>
      <c r="D89" s="1119"/>
      <c r="E89" s="1119"/>
      <c r="F89" s="1119"/>
      <c r="G89" s="1120"/>
      <c r="H89" s="194">
        <v>6.59</v>
      </c>
      <c r="I89" s="194">
        <f>ROUND(H89+H89*'Løntabel gældende fra'!$D$7%,2)</f>
        <v>8.23</v>
      </c>
    </row>
    <row r="90" spans="1:22" customFormat="1" ht="24" customHeight="1">
      <c r="A90" s="1030" t="s">
        <v>17</v>
      </c>
      <c r="B90" s="1031"/>
      <c r="C90" s="1031"/>
      <c r="D90" s="1031"/>
      <c r="E90" s="1031"/>
      <c r="F90" s="1031"/>
      <c r="G90" s="1032"/>
      <c r="H90" s="784">
        <v>61.22</v>
      </c>
      <c r="I90" s="784">
        <f>ROUND(H90+H90*'Løntabel gældende fra'!$D$7%,2)</f>
        <v>76.47</v>
      </c>
    </row>
    <row r="91" spans="1:22" customFormat="1" ht="24" customHeight="1">
      <c r="A91" s="1030" t="s">
        <v>401</v>
      </c>
      <c r="B91" s="1031"/>
      <c r="C91" s="1031"/>
      <c r="D91" s="1031"/>
      <c r="E91" s="1031"/>
      <c r="F91" s="1031"/>
      <c r="G91" s="1032"/>
      <c r="H91" s="784">
        <v>163.63999999999999</v>
      </c>
      <c r="I91" s="784">
        <f>ROUND(H91+H91*'Løntabel gældende fra'!$D$7%,2)</f>
        <v>204.41</v>
      </c>
    </row>
    <row r="92" spans="1:22" customFormat="1" ht="42" customHeight="1" thickBot="1">
      <c r="A92" s="1027" t="s">
        <v>402</v>
      </c>
      <c r="B92" s="1028"/>
      <c r="C92" s="1028"/>
      <c r="D92" s="1028"/>
      <c r="E92" s="1028"/>
      <c r="F92" s="1028"/>
      <c r="G92" s="1029"/>
      <c r="H92" s="195">
        <v>372.2</v>
      </c>
      <c r="I92" s="195">
        <f>ROUND(H92+H92*'Løntabel gældende fra'!$D$7%,2)</f>
        <v>464.92</v>
      </c>
    </row>
    <row r="93" spans="1:22" s="495" customFormat="1" ht="47.1" customHeight="1" thickBot="1">
      <c r="A93" s="941" t="s">
        <v>395</v>
      </c>
      <c r="B93" s="942"/>
      <c r="C93" s="942"/>
      <c r="D93" s="942"/>
      <c r="E93" s="942"/>
      <c r="F93" s="942"/>
      <c r="G93" s="942"/>
      <c r="H93" s="942"/>
      <c r="I93" s="943"/>
      <c r="J93" s="496"/>
      <c r="K93" s="496"/>
      <c r="L93" s="496"/>
      <c r="M93" s="496"/>
      <c r="N93" s="496"/>
      <c r="O93" s="496"/>
      <c r="P93" s="496"/>
      <c r="Q93" s="496"/>
      <c r="R93" s="496"/>
      <c r="S93" s="496"/>
      <c r="T93" s="496"/>
      <c r="U93" s="496"/>
      <c r="V93" s="496"/>
    </row>
    <row r="94" spans="1:22" customFormat="1" ht="33.950000000000003" customHeight="1" thickBot="1">
      <c r="A94" s="941" t="s">
        <v>396</v>
      </c>
      <c r="B94" s="942"/>
      <c r="C94" s="942"/>
      <c r="D94" s="942"/>
      <c r="E94" s="942"/>
      <c r="F94" s="942"/>
      <c r="G94" s="942"/>
      <c r="H94" s="942"/>
      <c r="I94" s="943"/>
    </row>
    <row r="95" spans="1:22" customFormat="1" ht="15" customHeight="1" thickBot="1">
      <c r="A95" s="67"/>
      <c r="B95" s="67"/>
      <c r="C95" s="67"/>
      <c r="D95" s="67"/>
      <c r="E95" s="67"/>
      <c r="F95" s="67"/>
      <c r="G95" s="67"/>
      <c r="H95" s="67"/>
      <c r="I95" s="67"/>
    </row>
    <row r="96" spans="1:22" customFormat="1" ht="24" customHeight="1" thickBot="1">
      <c r="A96" s="953" t="s">
        <v>66</v>
      </c>
      <c r="B96" s="954"/>
      <c r="C96" s="954"/>
      <c r="D96" s="954"/>
      <c r="E96" s="954"/>
      <c r="F96" s="954"/>
      <c r="G96" s="1023"/>
      <c r="H96" s="58"/>
    </row>
    <row r="97" spans="1:22" s="495" customFormat="1" ht="24" customHeight="1" thickBot="1">
      <c r="A97" s="1047" t="s">
        <v>67</v>
      </c>
      <c r="B97" s="1048"/>
      <c r="C97" s="1049"/>
      <c r="D97" s="1107">
        <v>40999</v>
      </c>
      <c r="E97" s="1021"/>
      <c r="F97" s="1021" t="str">
        <f>'Løntabel gældende fra'!$D$1</f>
        <v>01/11/25</v>
      </c>
      <c r="G97" s="1022"/>
      <c r="H97" s="60"/>
      <c r="I97"/>
      <c r="J97" s="496"/>
      <c r="K97" s="496"/>
      <c r="L97" s="496"/>
      <c r="M97" s="496"/>
      <c r="N97" s="496"/>
      <c r="O97" s="496"/>
      <c r="P97" s="496"/>
      <c r="Q97" s="496"/>
      <c r="R97" s="496"/>
      <c r="S97" s="496"/>
      <c r="T97" s="496"/>
      <c r="U97" s="496"/>
      <c r="V97" s="496"/>
    </row>
    <row r="98" spans="1:22" customFormat="1" ht="15" customHeight="1" thickBot="1">
      <c r="A98" s="1050"/>
      <c r="B98" s="1051"/>
      <c r="C98" s="1052"/>
      <c r="D98" s="979" t="s">
        <v>269</v>
      </c>
      <c r="E98" s="980"/>
      <c r="F98" s="979" t="s">
        <v>269</v>
      </c>
      <c r="G98" s="980"/>
      <c r="H98" s="496"/>
      <c r="I98" s="496"/>
    </row>
    <row r="99" spans="1:22" customFormat="1" ht="15" customHeight="1">
      <c r="A99" s="162" t="s">
        <v>68</v>
      </c>
      <c r="B99" s="163"/>
      <c r="C99" s="164"/>
      <c r="D99" s="165">
        <v>236</v>
      </c>
      <c r="E99" s="165">
        <v>334</v>
      </c>
      <c r="F99" s="497">
        <f>ROUND(D99+D99*'Løntabel gældende fra'!$D$7%,2)</f>
        <v>294.79000000000002</v>
      </c>
      <c r="G99" s="498">
        <f>ROUND(E99+E99*'Løntabel gældende fra'!$D$7%,2)</f>
        <v>417.21</v>
      </c>
      <c r="H99" s="53"/>
    </row>
    <row r="100" spans="1:22" ht="24" customHeight="1" thickBot="1">
      <c r="A100" s="117" t="s">
        <v>70</v>
      </c>
      <c r="B100" s="118"/>
      <c r="C100" s="166"/>
      <c r="D100" s="167">
        <v>170</v>
      </c>
      <c r="E100" s="167">
        <v>269</v>
      </c>
      <c r="F100" s="168">
        <f>ROUND(D100+D100*'Løntabel gældende fra'!$D$7%,2)</f>
        <v>212.35</v>
      </c>
      <c r="G100" s="169">
        <f>ROUND(E100+E100*'Løntabel gældende fra'!$D$7%,2)</f>
        <v>336.01</v>
      </c>
      <c r="H100" s="53"/>
      <c r="I100"/>
    </row>
    <row r="101" spans="1:22" customFormat="1" ht="24" customHeight="1" thickBot="1">
      <c r="A101" s="987" t="s">
        <v>69</v>
      </c>
      <c r="B101" s="988"/>
      <c r="C101" s="1024"/>
      <c r="D101" s="1045">
        <f>D97</f>
        <v>40999</v>
      </c>
      <c r="E101" s="1046"/>
      <c r="F101" s="1026" t="str">
        <f>'Løntabel gældende fra'!$D$1</f>
        <v>01/11/25</v>
      </c>
      <c r="G101" s="1022"/>
      <c r="H101" s="60"/>
    </row>
    <row r="102" spans="1:22" customFormat="1" ht="15.75" thickBot="1">
      <c r="A102" s="989"/>
      <c r="B102" s="990"/>
      <c r="C102" s="1025"/>
      <c r="D102" s="979" t="s">
        <v>269</v>
      </c>
      <c r="E102" s="980"/>
      <c r="F102" s="979" t="s">
        <v>269</v>
      </c>
      <c r="G102" s="980"/>
      <c r="H102" s="496"/>
      <c r="I102" s="496"/>
    </row>
    <row r="103" spans="1:22" customFormat="1">
      <c r="A103" s="162" t="s">
        <v>68</v>
      </c>
      <c r="B103" s="163"/>
      <c r="C103" s="164"/>
      <c r="D103" s="165">
        <v>203</v>
      </c>
      <c r="E103" s="165">
        <v>334</v>
      </c>
      <c r="F103" s="170">
        <f>ROUND(D103+D103*'Løntabel gældende fra'!$D$7%,2)</f>
        <v>253.57</v>
      </c>
      <c r="G103" s="171">
        <f>ROUND(E103+E103*'Løntabel gældende fra'!$D$7%,2)</f>
        <v>417.21</v>
      </c>
      <c r="H103" s="53"/>
    </row>
    <row r="104" spans="1:22" customFormat="1" ht="42" customHeight="1" thickBot="1">
      <c r="A104" s="488" t="s">
        <v>70</v>
      </c>
      <c r="B104" s="489"/>
      <c r="C104" s="490"/>
      <c r="D104" s="172">
        <v>138</v>
      </c>
      <c r="E104" s="172">
        <v>269</v>
      </c>
      <c r="F104" s="173">
        <f>ROUND(D104+D104*'Løntabel gældende fra'!$D$7%,2)</f>
        <v>172.38</v>
      </c>
      <c r="G104" s="174">
        <f>ROUND(E104+E104*'Løntabel gældende fra'!$D$7%,2)</f>
        <v>336.01</v>
      </c>
      <c r="H104" s="53"/>
    </row>
    <row r="105" spans="1:22" customFormat="1" ht="15.75" thickBot="1">
      <c r="A105" s="7"/>
      <c r="B105" s="7"/>
      <c r="C105" s="7"/>
      <c r="D105" s="7"/>
      <c r="E105" s="7"/>
      <c r="F105" s="7"/>
      <c r="G105" s="7"/>
      <c r="H105" s="7"/>
      <c r="I105" s="7"/>
    </row>
    <row r="106" spans="1:22" customFormat="1" ht="18">
      <c r="A106" s="944" t="s">
        <v>452</v>
      </c>
      <c r="B106" s="945"/>
      <c r="C106" s="945"/>
      <c r="D106" s="945"/>
      <c r="E106" s="945"/>
      <c r="F106" s="945"/>
      <c r="G106" s="945"/>
      <c r="H106" s="945"/>
      <c r="I106" s="946"/>
    </row>
    <row r="107" spans="1:22" customFormat="1">
      <c r="A107" s="902" t="s">
        <v>438</v>
      </c>
      <c r="B107" s="903"/>
      <c r="C107" s="903"/>
      <c r="D107" s="903"/>
      <c r="E107" s="903"/>
      <c r="F107" s="903"/>
      <c r="G107" s="903"/>
      <c r="H107" s="903"/>
      <c r="I107" s="904"/>
    </row>
    <row r="108" spans="1:22" customFormat="1" ht="15.75" thickBot="1">
      <c r="A108" s="999" t="s">
        <v>274</v>
      </c>
      <c r="B108" s="1000"/>
      <c r="C108" s="1000"/>
      <c r="D108" s="1000"/>
      <c r="E108" s="1000"/>
      <c r="F108" s="1000"/>
      <c r="G108" s="1000"/>
      <c r="H108" s="1000"/>
      <c r="I108" s="1001"/>
    </row>
    <row r="109" spans="1:22" ht="29.1" customHeight="1" thickBot="1">
      <c r="A109" s="905" t="s">
        <v>435</v>
      </c>
      <c r="B109" s="906"/>
      <c r="C109" s="906"/>
      <c r="D109" s="906"/>
      <c r="E109" s="907"/>
      <c r="F109" s="908">
        <v>40999</v>
      </c>
      <c r="G109" s="909"/>
      <c r="H109" s="910" t="str">
        <f>'Løntabel gældende fra'!$D$1</f>
        <v>01/11/25</v>
      </c>
      <c r="I109" s="911"/>
      <c r="J109"/>
      <c r="K109"/>
    </row>
    <row r="110" spans="1:22" ht="29.1" customHeight="1">
      <c r="A110" s="926" t="s">
        <v>440</v>
      </c>
      <c r="B110" s="913"/>
      <c r="C110" s="913"/>
      <c r="D110" s="913"/>
      <c r="E110" s="914"/>
      <c r="F110" s="915">
        <v>4600</v>
      </c>
      <c r="G110" s="916"/>
      <c r="H110" s="917">
        <f>ROUND(F110+F110*'Løntabel gældende fra'!$D$7%,2)</f>
        <v>5745.98</v>
      </c>
      <c r="I110" s="918"/>
      <c r="J110"/>
      <c r="K110"/>
    </row>
    <row r="111" spans="1:22" ht="20.25" customHeight="1" thickBot="1">
      <c r="A111" s="919" t="s">
        <v>439</v>
      </c>
      <c r="B111" s="920"/>
      <c r="C111" s="920"/>
      <c r="D111" s="920"/>
      <c r="E111" s="921"/>
      <c r="F111" s="922">
        <v>500</v>
      </c>
      <c r="G111" s="923"/>
      <c r="H111" s="924">
        <f>ROUND(F111+F111*'Løntabel gældende fra'!$D$7%,2)</f>
        <v>624.55999999999995</v>
      </c>
      <c r="I111" s="925"/>
      <c r="J111"/>
      <c r="K111"/>
    </row>
    <row r="112" spans="1:22" ht="17.100000000000001" customHeight="1" thickBot="1">
      <c r="A112" s="1002" t="s">
        <v>432</v>
      </c>
      <c r="B112" s="1003"/>
      <c r="C112" s="1003"/>
      <c r="D112" s="1003"/>
      <c r="E112" s="1004"/>
      <c r="F112" s="1105">
        <v>700</v>
      </c>
      <c r="G112" s="1106"/>
      <c r="H112" s="991">
        <f>ROUND(F112+F112*'Løntabel gældende fra'!$D$7%,2)</f>
        <v>874.39</v>
      </c>
      <c r="I112" s="992"/>
      <c r="J112"/>
      <c r="K112"/>
    </row>
    <row r="113" spans="1:15" ht="26.1" customHeight="1" thickBot="1">
      <c r="A113" s="905" t="s">
        <v>436</v>
      </c>
      <c r="B113" s="906"/>
      <c r="C113" s="906"/>
      <c r="D113" s="906"/>
      <c r="E113" s="907"/>
      <c r="F113" s="908">
        <v>40999</v>
      </c>
      <c r="G113" s="909"/>
      <c r="H113" s="910" t="str">
        <f>'Løntabel gældende fra'!$D$1</f>
        <v>01/11/25</v>
      </c>
      <c r="I113" s="911"/>
      <c r="J113"/>
      <c r="K113"/>
    </row>
    <row r="114" spans="1:15" ht="12" customHeight="1">
      <c r="A114" s="912" t="s">
        <v>430</v>
      </c>
      <c r="B114" s="913"/>
      <c r="C114" s="913"/>
      <c r="D114" s="913"/>
      <c r="E114" s="914"/>
      <c r="F114" s="915">
        <v>5600</v>
      </c>
      <c r="G114" s="916"/>
      <c r="H114" s="917">
        <f>ROUND(F114+F114*'Løntabel gældende fra'!$D$7%,2)</f>
        <v>6995.11</v>
      </c>
      <c r="I114" s="918"/>
      <c r="J114"/>
      <c r="K114"/>
    </row>
    <row r="115" spans="1:15" ht="20.25" customHeight="1" thickBot="1">
      <c r="A115" s="919" t="s">
        <v>431</v>
      </c>
      <c r="B115" s="920"/>
      <c r="C115" s="920"/>
      <c r="D115" s="920"/>
      <c r="E115" s="921"/>
      <c r="F115" s="922">
        <v>900</v>
      </c>
      <c r="G115" s="923"/>
      <c r="H115" s="924">
        <f>ROUND(F115+F115*'Løntabel gældende fra'!$D$7%,2)</f>
        <v>1124.21</v>
      </c>
      <c r="I115" s="925"/>
      <c r="J115"/>
      <c r="K115"/>
    </row>
    <row r="116" spans="1:15" ht="15" customHeight="1" thickBot="1">
      <c r="A116" s="905" t="s">
        <v>437</v>
      </c>
      <c r="B116" s="906"/>
      <c r="C116" s="906"/>
      <c r="D116" s="906"/>
      <c r="E116" s="907"/>
      <c r="F116" s="908">
        <v>40999</v>
      </c>
      <c r="G116" s="909"/>
      <c r="H116" s="910" t="str">
        <f>'Løntabel gældende fra'!$D$1</f>
        <v>01/11/25</v>
      </c>
      <c r="I116" s="911"/>
      <c r="J116"/>
      <c r="K116"/>
    </row>
    <row r="117" spans="1:15" ht="12" customHeight="1" thickBot="1">
      <c r="A117" s="955" t="s">
        <v>434</v>
      </c>
      <c r="B117" s="956"/>
      <c r="C117" s="956"/>
      <c r="D117" s="956"/>
      <c r="E117" s="957"/>
      <c r="F117" s="958">
        <v>150</v>
      </c>
      <c r="G117" s="959"/>
      <c r="H117" s="960">
        <f>ROUND(F117+F117*'Løntabel gældende fra'!$D$7%,2)</f>
        <v>187.37</v>
      </c>
      <c r="I117" s="961"/>
      <c r="J117"/>
      <c r="K117"/>
    </row>
    <row r="118" spans="1:15" ht="18" customHeight="1" thickBot="1">
      <c r="A118" s="962" t="s">
        <v>433</v>
      </c>
      <c r="B118" s="963"/>
      <c r="C118" s="963"/>
      <c r="D118" s="963"/>
      <c r="E118" s="963"/>
      <c r="F118" s="963"/>
      <c r="G118" s="963"/>
      <c r="H118" s="963"/>
      <c r="I118" s="964"/>
      <c r="J118"/>
      <c r="K118"/>
    </row>
    <row r="119" spans="1:15" ht="15.95" customHeight="1" thickBot="1">
      <c r="A119" s="92"/>
      <c r="B119" s="7"/>
      <c r="C119" s="7"/>
      <c r="D119" s="7"/>
      <c r="E119" s="7"/>
      <c r="F119" s="53"/>
      <c r="G119" s="53"/>
      <c r="H119" s="7"/>
      <c r="I119" s="7"/>
      <c r="J119" s="3"/>
      <c r="K119" s="3"/>
      <c r="L119" s="3"/>
      <c r="M119" s="4"/>
      <c r="N119" s="4"/>
      <c r="O119" s="4"/>
    </row>
    <row r="120" spans="1:15" ht="20.25">
      <c r="A120" s="996" t="s">
        <v>87</v>
      </c>
      <c r="B120" s="997"/>
      <c r="C120" s="997"/>
      <c r="D120" s="997"/>
      <c r="E120" s="997"/>
      <c r="F120" s="997"/>
      <c r="G120" s="997"/>
      <c r="H120" s="997"/>
      <c r="I120" s="998"/>
    </row>
    <row r="121" spans="1:15" ht="21" thickBot="1">
      <c r="A121" s="1013" t="str">
        <f>'Løntabel gældende fra'!$D$1</f>
        <v>01/11/25</v>
      </c>
      <c r="B121" s="1014"/>
      <c r="C121" s="1014"/>
      <c r="D121" s="1014"/>
      <c r="E121" s="1014"/>
      <c r="F121" s="1014"/>
      <c r="G121" s="1014"/>
      <c r="H121" s="1014"/>
      <c r="I121" s="1015"/>
    </row>
    <row r="122" spans="1:15" ht="18.75" thickBot="1">
      <c r="A122" s="953" t="s">
        <v>85</v>
      </c>
      <c r="B122" s="954"/>
      <c r="C122" s="954"/>
      <c r="D122" s="954"/>
      <c r="E122" s="954"/>
      <c r="F122" s="945"/>
      <c r="G122" s="945"/>
      <c r="H122" s="945"/>
      <c r="I122" s="946"/>
    </row>
    <row r="123" spans="1:15" ht="15" customHeight="1">
      <c r="A123" s="940" t="s">
        <v>0</v>
      </c>
      <c r="B123" s="987" t="s">
        <v>20</v>
      </c>
      <c r="C123" s="988"/>
      <c r="D123" s="988"/>
      <c r="E123" s="988"/>
      <c r="F123" s="951" t="s">
        <v>311</v>
      </c>
      <c r="G123" s="952"/>
      <c r="H123" s="985">
        <v>0.17299999999999999</v>
      </c>
      <c r="I123" s="986"/>
    </row>
    <row r="124" spans="1:15" ht="18" customHeight="1" thickBot="1">
      <c r="A124" s="940"/>
      <c r="B124" s="989"/>
      <c r="C124" s="990"/>
      <c r="D124" s="990"/>
      <c r="E124" s="990"/>
      <c r="F124" s="993" t="s">
        <v>317</v>
      </c>
      <c r="G124" s="994"/>
      <c r="H124" s="994"/>
      <c r="I124" s="995"/>
    </row>
    <row r="125" spans="1:15" ht="18" customHeight="1">
      <c r="A125" s="153">
        <v>1</v>
      </c>
      <c r="B125" s="1016">
        <f>H10</f>
        <v>28333.09</v>
      </c>
      <c r="C125" s="1018"/>
      <c r="D125" s="1018"/>
      <c r="E125" s="1017"/>
      <c r="F125" s="1016">
        <f>ROUND(B125*$H$123,2)</f>
        <v>4901.62</v>
      </c>
      <c r="G125" s="1018"/>
      <c r="H125" s="1018"/>
      <c r="I125" s="1017"/>
    </row>
    <row r="126" spans="1:15" ht="14.1" customHeight="1">
      <c r="A126" s="88">
        <v>2</v>
      </c>
      <c r="B126" s="1019">
        <f>H11</f>
        <v>29697.45</v>
      </c>
      <c r="C126" s="927"/>
      <c r="D126" s="927"/>
      <c r="E126" s="1020"/>
      <c r="F126" s="1019">
        <f>ROUND(B126*$H$123,2)</f>
        <v>5137.66</v>
      </c>
      <c r="G126" s="927"/>
      <c r="H126" s="927"/>
      <c r="I126" s="1020"/>
    </row>
    <row r="127" spans="1:15" ht="15" customHeight="1">
      <c r="A127" s="88">
        <v>3</v>
      </c>
      <c r="B127" s="1019">
        <f>H12</f>
        <v>30802.51</v>
      </c>
      <c r="C127" s="927"/>
      <c r="D127" s="927"/>
      <c r="E127" s="1020"/>
      <c r="F127" s="1019">
        <f>ROUND(B127*$H$123,2)</f>
        <v>5328.83</v>
      </c>
      <c r="G127" s="927"/>
      <c r="H127" s="927"/>
      <c r="I127" s="1020"/>
    </row>
    <row r="128" spans="1:15" ht="15.75" thickBot="1">
      <c r="A128" s="89">
        <v>4</v>
      </c>
      <c r="B128" s="1128">
        <f>H13</f>
        <v>32753.54</v>
      </c>
      <c r="C128" s="976"/>
      <c r="D128" s="976"/>
      <c r="E128" s="1012"/>
      <c r="F128" s="1128">
        <f>ROUND(B128*$H$123,2)</f>
        <v>5666.36</v>
      </c>
      <c r="G128" s="976"/>
      <c r="H128" s="976"/>
      <c r="I128" s="1012"/>
      <c r="J128" s="39"/>
    </row>
    <row r="129" spans="1:9" ht="18.75" thickBot="1">
      <c r="A129" s="944" t="s">
        <v>86</v>
      </c>
      <c r="B129" s="945"/>
      <c r="C129" s="945"/>
      <c r="D129" s="945"/>
      <c r="E129" s="945"/>
      <c r="F129" s="945"/>
      <c r="G129" s="945"/>
      <c r="H129" s="945"/>
      <c r="I129" s="946"/>
    </row>
    <row r="130" spans="1:9">
      <c r="A130" s="939" t="s">
        <v>0</v>
      </c>
      <c r="B130" s="947" t="s">
        <v>133</v>
      </c>
      <c r="C130" s="987" t="s">
        <v>23</v>
      </c>
      <c r="D130" s="988"/>
      <c r="E130" s="988"/>
      <c r="F130" s="987" t="s">
        <v>24</v>
      </c>
      <c r="G130" s="988"/>
      <c r="H130" s="949" t="s">
        <v>90</v>
      </c>
      <c r="I130" s="950"/>
    </row>
    <row r="131" spans="1:9" ht="15.75" thickBot="1">
      <c r="A131" s="940"/>
      <c r="B131" s="948"/>
      <c r="C131" s="937">
        <f>B52</f>
        <v>40999</v>
      </c>
      <c r="D131" s="938"/>
      <c r="E131" s="938"/>
      <c r="F131" s="937" t="str">
        <f>'Løntabel gældende fra'!$D$1</f>
        <v>01/11/25</v>
      </c>
      <c r="G131" s="938"/>
      <c r="H131" s="1062"/>
      <c r="I131" s="1064"/>
    </row>
    <row r="132" spans="1:9" ht="15.75" thickBot="1">
      <c r="A132" s="940"/>
      <c r="B132" s="948"/>
      <c r="C132" s="949" t="s">
        <v>83</v>
      </c>
      <c r="D132" s="950"/>
      <c r="E132" s="558" t="s">
        <v>84</v>
      </c>
      <c r="F132" s="558" t="s">
        <v>83</v>
      </c>
      <c r="G132" s="588" t="s">
        <v>84</v>
      </c>
      <c r="H132" s="1141">
        <v>0.15</v>
      </c>
      <c r="I132" s="1142"/>
    </row>
    <row r="133" spans="1:9">
      <c r="A133" s="132">
        <v>1</v>
      </c>
      <c r="B133" s="337">
        <v>21</v>
      </c>
      <c r="C133" s="1005">
        <f>+'Statens skalatrin'!N66</f>
        <v>241583.32</v>
      </c>
      <c r="D133" s="1006"/>
      <c r="E133" s="158">
        <f t="shared" ref="E133:E146" si="4">ROUND(C133/12,2)</f>
        <v>20131.939999999999</v>
      </c>
      <c r="F133" s="204">
        <f>ROUND(C133*(1+'Løntabel gældende fra'!$D$7/100),0)</f>
        <v>301768</v>
      </c>
      <c r="G133" s="158">
        <f>ROUND(F133/12,2)</f>
        <v>25147.33</v>
      </c>
      <c r="H133" s="967">
        <f>ROUND(G133*$H$132,2)</f>
        <v>3772.1</v>
      </c>
      <c r="I133" s="968"/>
    </row>
    <row r="134" spans="1:9">
      <c r="A134" s="589">
        <v>1</v>
      </c>
      <c r="B134" s="590">
        <v>23</v>
      </c>
      <c r="C134" s="928">
        <f>+'Statens skalatrin'!N72</f>
        <v>250472.55</v>
      </c>
      <c r="D134" s="929"/>
      <c r="E134" s="176">
        <f t="shared" si="4"/>
        <v>20872.71</v>
      </c>
      <c r="F134" s="205">
        <f>ROUND(C134*(1+'Løntabel gældende fra'!$D$7/100),0)</f>
        <v>312872</v>
      </c>
      <c r="G134" s="176">
        <f t="shared" ref="G134:G144" si="5">ROUND(F134/12,2)</f>
        <v>26072.67</v>
      </c>
      <c r="H134" s="967">
        <f t="shared" ref="H134:H146" si="6">ROUND(G134*$H$132,2)</f>
        <v>3910.9</v>
      </c>
      <c r="I134" s="968"/>
    </row>
    <row r="135" spans="1:9">
      <c r="A135" s="589">
        <v>2</v>
      </c>
      <c r="B135" s="590">
        <v>25</v>
      </c>
      <c r="C135" s="928">
        <f>+'Statens skalatrin'!N78</f>
        <v>259721.7</v>
      </c>
      <c r="D135" s="929"/>
      <c r="E135" s="176">
        <f t="shared" si="4"/>
        <v>21643.48</v>
      </c>
      <c r="F135" s="205">
        <f>ROUND(C135*(1+'Løntabel gældende fra'!$D$7/100),0)</f>
        <v>324425</v>
      </c>
      <c r="G135" s="176">
        <f t="shared" si="5"/>
        <v>27035.42</v>
      </c>
      <c r="H135" s="967">
        <f t="shared" si="6"/>
        <v>4055.31</v>
      </c>
      <c r="I135" s="968"/>
    </row>
    <row r="136" spans="1:9">
      <c r="A136" s="589">
        <v>2</v>
      </c>
      <c r="B136" s="590">
        <v>27</v>
      </c>
      <c r="C136" s="928">
        <f>+'Statens skalatrin'!N84</f>
        <v>269459.90000000002</v>
      </c>
      <c r="D136" s="929"/>
      <c r="E136" s="176">
        <f t="shared" si="4"/>
        <v>22454.99</v>
      </c>
      <c r="F136" s="205">
        <f>ROUND(C136*(1+'Løntabel gældende fra'!$D$7/100),0)</f>
        <v>336589</v>
      </c>
      <c r="G136" s="176">
        <f t="shared" si="5"/>
        <v>28049.08</v>
      </c>
      <c r="H136" s="967">
        <f t="shared" si="6"/>
        <v>4207.3599999999997</v>
      </c>
      <c r="I136" s="968"/>
    </row>
    <row r="137" spans="1:9">
      <c r="A137" s="589">
        <v>3</v>
      </c>
      <c r="B137" s="590">
        <v>28</v>
      </c>
      <c r="C137" s="928">
        <f>+'Statens skalatrin'!N87</f>
        <v>274522.23</v>
      </c>
      <c r="D137" s="929"/>
      <c r="E137" s="176">
        <f t="shared" si="4"/>
        <v>22876.85</v>
      </c>
      <c r="F137" s="205">
        <f>ROUND(C137*(1+'Løntabel gældende fra'!$D$7/100),0)</f>
        <v>342913</v>
      </c>
      <c r="G137" s="176">
        <f t="shared" si="5"/>
        <v>28576.080000000002</v>
      </c>
      <c r="H137" s="967">
        <f t="shared" si="6"/>
        <v>4286.41</v>
      </c>
      <c r="I137" s="968"/>
    </row>
    <row r="138" spans="1:9">
      <c r="A138" s="589">
        <v>3</v>
      </c>
      <c r="B138" s="590">
        <v>29</v>
      </c>
      <c r="C138" s="928">
        <f>+'Statens skalatrin'!N90</f>
        <v>279714.99</v>
      </c>
      <c r="D138" s="929"/>
      <c r="E138" s="176">
        <f t="shared" si="4"/>
        <v>23309.58</v>
      </c>
      <c r="F138" s="205">
        <f>ROUND(C138*(1+'Løntabel gældende fra'!$D$7/100),0)</f>
        <v>349399</v>
      </c>
      <c r="G138" s="176">
        <f t="shared" si="5"/>
        <v>29116.58</v>
      </c>
      <c r="H138" s="967">
        <f t="shared" si="6"/>
        <v>4367.49</v>
      </c>
      <c r="I138" s="968"/>
    </row>
    <row r="139" spans="1:9">
      <c r="A139" s="589">
        <v>3</v>
      </c>
      <c r="B139" s="590">
        <v>30</v>
      </c>
      <c r="C139" s="928">
        <f>+'Statens skalatrin'!N93</f>
        <v>285044.74</v>
      </c>
      <c r="D139" s="929"/>
      <c r="E139" s="176">
        <f t="shared" si="4"/>
        <v>23753.73</v>
      </c>
      <c r="F139" s="205">
        <f>ROUND(C139*(1+'Løntabel gældende fra'!$D$7/100),0)</f>
        <v>356057</v>
      </c>
      <c r="G139" s="176">
        <f t="shared" si="5"/>
        <v>29671.42</v>
      </c>
      <c r="H139" s="967">
        <f t="shared" si="6"/>
        <v>4450.71</v>
      </c>
      <c r="I139" s="968"/>
    </row>
    <row r="140" spans="1:9">
      <c r="A140" s="589">
        <v>3</v>
      </c>
      <c r="B140" s="590">
        <v>31</v>
      </c>
      <c r="C140" s="928">
        <f>+'Statens skalatrin'!N96</f>
        <v>290512.64000000001</v>
      </c>
      <c r="D140" s="929"/>
      <c r="E140" s="176">
        <f t="shared" si="4"/>
        <v>24209.39</v>
      </c>
      <c r="F140" s="205">
        <f>ROUND(C140*(1+'Løntabel gældende fra'!$D$7/100),0)</f>
        <v>362887</v>
      </c>
      <c r="G140" s="176">
        <f t="shared" si="5"/>
        <v>30240.58</v>
      </c>
      <c r="H140" s="967">
        <f t="shared" si="6"/>
        <v>4536.09</v>
      </c>
      <c r="I140" s="968"/>
    </row>
    <row r="141" spans="1:9" ht="15" customHeight="1">
      <c r="A141" s="589">
        <v>28</v>
      </c>
      <c r="B141" s="590">
        <v>28</v>
      </c>
      <c r="C141" s="928">
        <f>+C137</f>
        <v>274522.23</v>
      </c>
      <c r="D141" s="929"/>
      <c r="E141" s="176">
        <f t="shared" si="4"/>
        <v>22876.85</v>
      </c>
      <c r="F141" s="205">
        <f>ROUND(C141*(1+'Løntabel gældende fra'!$D$7/100),0)</f>
        <v>342913</v>
      </c>
      <c r="G141" s="176">
        <f t="shared" si="5"/>
        <v>28576.080000000002</v>
      </c>
      <c r="H141" s="967">
        <f t="shared" si="6"/>
        <v>4286.41</v>
      </c>
      <c r="I141" s="968"/>
    </row>
    <row r="142" spans="1:9" ht="15" customHeight="1">
      <c r="A142" s="589">
        <v>29</v>
      </c>
      <c r="B142" s="590">
        <v>29</v>
      </c>
      <c r="C142" s="928">
        <f>+C138</f>
        <v>279714.99</v>
      </c>
      <c r="D142" s="929"/>
      <c r="E142" s="176">
        <f t="shared" si="4"/>
        <v>23309.58</v>
      </c>
      <c r="F142" s="205">
        <f>ROUND(C142*(1+'Løntabel gældende fra'!$D$7/100),0)</f>
        <v>349399</v>
      </c>
      <c r="G142" s="176">
        <f t="shared" si="5"/>
        <v>29116.58</v>
      </c>
      <c r="H142" s="967">
        <f t="shared" si="6"/>
        <v>4367.49</v>
      </c>
      <c r="I142" s="968"/>
    </row>
    <row r="143" spans="1:9" ht="17.25" customHeight="1">
      <c r="A143" s="589">
        <v>30</v>
      </c>
      <c r="B143" s="590">
        <v>30</v>
      </c>
      <c r="C143" s="928">
        <f>+C139</f>
        <v>285044.74</v>
      </c>
      <c r="D143" s="929"/>
      <c r="E143" s="176">
        <f t="shared" si="4"/>
        <v>23753.73</v>
      </c>
      <c r="F143" s="205">
        <f>ROUND(C143*(1+'Løntabel gældende fra'!$D$7/100),0)</f>
        <v>356057</v>
      </c>
      <c r="G143" s="176">
        <f t="shared" si="5"/>
        <v>29671.42</v>
      </c>
      <c r="H143" s="967">
        <f t="shared" si="6"/>
        <v>4450.71</v>
      </c>
      <c r="I143" s="968"/>
    </row>
    <row r="144" spans="1:9" ht="14.25" customHeight="1">
      <c r="A144" s="589">
        <v>31</v>
      </c>
      <c r="B144" s="590">
        <v>31</v>
      </c>
      <c r="C144" s="928">
        <f>+C140</f>
        <v>290512.64000000001</v>
      </c>
      <c r="D144" s="929"/>
      <c r="E144" s="176">
        <f t="shared" si="4"/>
        <v>24209.39</v>
      </c>
      <c r="F144" s="205">
        <f>ROUND(C144*(1+'Løntabel gældende fra'!$D$7/100),0)</f>
        <v>362887</v>
      </c>
      <c r="G144" s="176">
        <f t="shared" si="5"/>
        <v>30240.58</v>
      </c>
      <c r="H144" s="967">
        <f t="shared" si="6"/>
        <v>4536.09</v>
      </c>
      <c r="I144" s="968"/>
    </row>
    <row r="145" spans="1:10">
      <c r="A145" s="589">
        <v>32</v>
      </c>
      <c r="B145" s="590">
        <v>32</v>
      </c>
      <c r="C145" s="928">
        <f>+'Statens skalatrin'!N99</f>
        <v>296125.21000000002</v>
      </c>
      <c r="D145" s="929"/>
      <c r="E145" s="176">
        <f t="shared" si="4"/>
        <v>24677.1</v>
      </c>
      <c r="F145" s="205">
        <f>ROUND(C145*(1+'Løntabel gældende fra'!$D$7/100),0)</f>
        <v>369898</v>
      </c>
      <c r="G145" s="176">
        <f>ROUND(F145/12,2)</f>
        <v>30824.83</v>
      </c>
      <c r="H145" s="967">
        <f t="shared" si="6"/>
        <v>4623.72</v>
      </c>
      <c r="I145" s="968"/>
    </row>
    <row r="146" spans="1:10" ht="15.75" thickBot="1">
      <c r="A146" s="138">
        <v>33</v>
      </c>
      <c r="B146" s="338">
        <v>33</v>
      </c>
      <c r="C146" s="977">
        <f>+'Statens skalatrin'!N102</f>
        <v>301881.8</v>
      </c>
      <c r="D146" s="978"/>
      <c r="E146" s="159">
        <f t="shared" si="4"/>
        <v>25156.82</v>
      </c>
      <c r="F146" s="206">
        <f>ROUND(C146*(1+'Løntabel gældende fra'!$D$7/100),0)</f>
        <v>377088</v>
      </c>
      <c r="G146" s="159">
        <f>ROUND(F146/12,2)</f>
        <v>31424</v>
      </c>
      <c r="H146" s="967">
        <f t="shared" si="6"/>
        <v>4713.6000000000004</v>
      </c>
      <c r="I146" s="968"/>
    </row>
    <row r="147" spans="1:10" ht="20.25">
      <c r="A147" s="996" t="s">
        <v>88</v>
      </c>
      <c r="B147" s="997"/>
      <c r="C147" s="997"/>
      <c r="D147" s="997"/>
      <c r="E147" s="997"/>
      <c r="F147" s="997"/>
      <c r="G147" s="997"/>
      <c r="H147" s="997"/>
      <c r="I147" s="998"/>
    </row>
    <row r="148" spans="1:10" ht="20.25">
      <c r="A148" s="1143" t="str">
        <f>'Løntabel gældende fra'!$D$1</f>
        <v>01/11/25</v>
      </c>
      <c r="B148" s="1144"/>
      <c r="C148" s="1144"/>
      <c r="D148" s="1144"/>
      <c r="E148" s="1144"/>
      <c r="F148" s="1144"/>
      <c r="G148" s="1144"/>
      <c r="H148" s="1144"/>
      <c r="I148" s="1145"/>
    </row>
    <row r="149" spans="1:10" ht="18.75" thickBot="1">
      <c r="A149" s="981" t="s">
        <v>85</v>
      </c>
      <c r="B149" s="982"/>
      <c r="C149" s="982"/>
      <c r="D149" s="982"/>
      <c r="E149" s="982"/>
      <c r="F149" s="983"/>
      <c r="G149" s="983"/>
      <c r="H149" s="983"/>
      <c r="I149" s="984"/>
    </row>
    <row r="150" spans="1:10">
      <c r="A150" s="940" t="s">
        <v>0</v>
      </c>
      <c r="B150" s="987" t="s">
        <v>20</v>
      </c>
      <c r="C150" s="988"/>
      <c r="D150" s="988"/>
      <c r="E150" s="988"/>
      <c r="F150" s="1133" t="s">
        <v>90</v>
      </c>
      <c r="G150" s="1134"/>
      <c r="H150" s="611">
        <v>0.17299999999999999</v>
      </c>
      <c r="I150" s="612"/>
    </row>
    <row r="151" spans="1:10" ht="15.75" thickBot="1">
      <c r="A151" s="966"/>
      <c r="B151" s="989"/>
      <c r="C151" s="990"/>
      <c r="D151" s="990"/>
      <c r="E151" s="990"/>
      <c r="F151" s="989" t="s">
        <v>317</v>
      </c>
      <c r="G151" s="990"/>
      <c r="H151" s="990"/>
      <c r="I151" s="1025"/>
    </row>
    <row r="152" spans="1:10">
      <c r="A152" s="153">
        <v>1</v>
      </c>
      <c r="B152" s="1016">
        <f>E10</f>
        <v>29114.53</v>
      </c>
      <c r="C152" s="1018"/>
      <c r="D152" s="1018"/>
      <c r="E152" s="1018"/>
      <c r="F152" s="1016">
        <f>ROUND(B152*$H$150,2)</f>
        <v>5036.8100000000004</v>
      </c>
      <c r="G152" s="1018"/>
      <c r="H152" s="1018"/>
      <c r="I152" s="1017"/>
    </row>
    <row r="153" spans="1:10" ht="15" customHeight="1">
      <c r="A153" s="88">
        <v>2</v>
      </c>
      <c r="B153" s="1019">
        <f>E11</f>
        <v>31024.54</v>
      </c>
      <c r="C153" s="927"/>
      <c r="D153" s="927"/>
      <c r="E153" s="927"/>
      <c r="F153" s="1019">
        <f>ROUND(B153*$H$150,2)</f>
        <v>5367.25</v>
      </c>
      <c r="G153" s="927"/>
      <c r="H153" s="927"/>
      <c r="I153" s="1020"/>
    </row>
    <row r="154" spans="1:10">
      <c r="A154" s="88">
        <v>3</v>
      </c>
      <c r="B154" s="1019">
        <f>E12</f>
        <v>33903.26</v>
      </c>
      <c r="C154" s="927"/>
      <c r="D154" s="927"/>
      <c r="E154" s="927"/>
      <c r="F154" s="1019">
        <f>ROUND(B154*$H$150,2)</f>
        <v>5865.26</v>
      </c>
      <c r="G154" s="927"/>
      <c r="H154" s="927"/>
      <c r="I154" s="1020"/>
    </row>
    <row r="155" spans="1:10" ht="18.95" customHeight="1" thickBot="1">
      <c r="A155" s="89">
        <v>4</v>
      </c>
      <c r="B155" s="1128">
        <f>E13</f>
        <v>36577.32</v>
      </c>
      <c r="C155" s="976"/>
      <c r="D155" s="976"/>
      <c r="E155" s="976"/>
      <c r="F155" s="1128">
        <f>ROUND(B155*$H$150,2)</f>
        <v>6327.88</v>
      </c>
      <c r="G155" s="976"/>
      <c r="H155" s="976"/>
      <c r="I155" s="1012"/>
    </row>
    <row r="156" spans="1:10" ht="14.1" customHeight="1" thickBot="1">
      <c r="A156" s="953" t="s">
        <v>86</v>
      </c>
      <c r="B156" s="954"/>
      <c r="C156" s="954"/>
      <c r="D156" s="954"/>
      <c r="E156" s="954"/>
      <c r="F156" s="954"/>
      <c r="G156" s="954"/>
      <c r="H156" s="954"/>
      <c r="I156" s="380"/>
      <c r="J156" s="45"/>
    </row>
    <row r="157" spans="1:10">
      <c r="A157" s="948" t="s">
        <v>101</v>
      </c>
      <c r="B157" s="948" t="s">
        <v>133</v>
      </c>
      <c r="C157" s="1097" t="s">
        <v>23</v>
      </c>
      <c r="D157" s="1097"/>
      <c r="E157" s="1097"/>
      <c r="F157" s="1121" t="s">
        <v>24</v>
      </c>
      <c r="G157" s="1097"/>
      <c r="H157" s="949" t="s">
        <v>90</v>
      </c>
      <c r="I157" s="950"/>
    </row>
    <row r="158" spans="1:10" ht="15.75" thickBot="1">
      <c r="A158" s="948"/>
      <c r="B158" s="948"/>
      <c r="C158" s="938">
        <v>40999</v>
      </c>
      <c r="D158" s="938"/>
      <c r="E158" s="938"/>
      <c r="F158" s="937" t="str">
        <f>'Løntabel gældende fra'!$D$1</f>
        <v>01/11/25</v>
      </c>
      <c r="G158" s="938"/>
      <c r="H158" s="1062"/>
      <c r="I158" s="1064"/>
    </row>
    <row r="159" spans="1:10" ht="15.75" thickBot="1">
      <c r="A159" s="965"/>
      <c r="B159" s="948"/>
      <c r="C159" s="969" t="s">
        <v>83</v>
      </c>
      <c r="D159" s="950"/>
      <c r="E159" s="558" t="s">
        <v>84</v>
      </c>
      <c r="F159" s="306" t="s">
        <v>83</v>
      </c>
      <c r="G159" s="588" t="s">
        <v>84</v>
      </c>
      <c r="H159" s="1135">
        <v>0.15</v>
      </c>
      <c r="I159" s="1136"/>
    </row>
    <row r="160" spans="1:10">
      <c r="A160" s="132">
        <v>1</v>
      </c>
      <c r="B160" s="337">
        <v>24</v>
      </c>
      <c r="C160" s="1005">
        <f>+'Statens skalatrin'!N75</f>
        <v>255037.97</v>
      </c>
      <c r="D160" s="1006"/>
      <c r="E160" s="158">
        <f t="shared" ref="E160:E174" si="7">ROUND(C160/12,2)</f>
        <v>21253.16</v>
      </c>
      <c r="F160" s="204">
        <f>ROUND(C160*(1+'Løntabel gældende fra'!$D$7/100),0)</f>
        <v>318575</v>
      </c>
      <c r="G160" s="158">
        <f>ROUND(F160/12,2)</f>
        <v>26547.919999999998</v>
      </c>
      <c r="H160" s="967">
        <f>ROUND(G160*$H$159,2)</f>
        <v>3982.19</v>
      </c>
      <c r="I160" s="968"/>
    </row>
    <row r="161" spans="1:9">
      <c r="A161" s="589">
        <v>1</v>
      </c>
      <c r="B161" s="590">
        <v>25</v>
      </c>
      <c r="C161" s="928">
        <f>+'Statens skalatrin'!N78</f>
        <v>259721.7</v>
      </c>
      <c r="D161" s="929"/>
      <c r="E161" s="176">
        <f t="shared" si="7"/>
        <v>21643.48</v>
      </c>
      <c r="F161" s="205">
        <f>ROUND(C161*(1+'Løntabel gældende fra'!$D$7/100),0)</f>
        <v>324425</v>
      </c>
      <c r="G161" s="176">
        <f t="shared" ref="G161:G174" si="8">ROUND(F161/12,2)</f>
        <v>27035.42</v>
      </c>
      <c r="H161" s="967">
        <f t="shared" ref="H161:H174" si="9">ROUND(G161*$H$159,2)</f>
        <v>4055.31</v>
      </c>
      <c r="I161" s="968"/>
    </row>
    <row r="162" spans="1:9">
      <c r="A162" s="589">
        <v>2</v>
      </c>
      <c r="B162" s="590">
        <v>27</v>
      </c>
      <c r="C162" s="928">
        <f>+'Statens skalatrin'!N84</f>
        <v>269459.90000000002</v>
      </c>
      <c r="D162" s="929"/>
      <c r="E162" s="176">
        <f t="shared" si="7"/>
        <v>22454.99</v>
      </c>
      <c r="F162" s="205">
        <f>ROUND(C162*(1+'Løntabel gældende fra'!$D$7/100),0)</f>
        <v>336589</v>
      </c>
      <c r="G162" s="176">
        <f t="shared" si="8"/>
        <v>28049.08</v>
      </c>
      <c r="H162" s="967">
        <f t="shared" si="9"/>
        <v>4207.3599999999997</v>
      </c>
      <c r="I162" s="968"/>
    </row>
    <row r="163" spans="1:9">
      <c r="A163" s="589">
        <v>2</v>
      </c>
      <c r="B163" s="590">
        <v>29</v>
      </c>
      <c r="C163" s="928">
        <f>+'Statens skalatrin'!N90</f>
        <v>279714.99</v>
      </c>
      <c r="D163" s="929"/>
      <c r="E163" s="176">
        <f t="shared" si="7"/>
        <v>23309.58</v>
      </c>
      <c r="F163" s="205">
        <f>ROUND(C163*(1+'Løntabel gældende fra'!$D$7/100),0)</f>
        <v>349399</v>
      </c>
      <c r="G163" s="176">
        <f t="shared" si="8"/>
        <v>29116.58</v>
      </c>
      <c r="H163" s="967">
        <f t="shared" si="9"/>
        <v>4367.49</v>
      </c>
      <c r="I163" s="968"/>
    </row>
    <row r="164" spans="1:9">
      <c r="A164" s="589">
        <v>3</v>
      </c>
      <c r="B164" s="590">
        <v>31</v>
      </c>
      <c r="C164" s="928">
        <f>+'Statens skalatrin'!N96</f>
        <v>290512.64000000001</v>
      </c>
      <c r="D164" s="929"/>
      <c r="E164" s="176">
        <f t="shared" si="7"/>
        <v>24209.39</v>
      </c>
      <c r="F164" s="205">
        <f>ROUND(C164*(1+'Løntabel gældende fra'!$D$7/100),0)</f>
        <v>362887</v>
      </c>
      <c r="G164" s="176">
        <f t="shared" si="8"/>
        <v>30240.58</v>
      </c>
      <c r="H164" s="967">
        <f t="shared" si="9"/>
        <v>4536.09</v>
      </c>
      <c r="I164" s="968"/>
    </row>
    <row r="165" spans="1:9">
      <c r="A165" s="589">
        <v>3</v>
      </c>
      <c r="B165" s="590">
        <v>33</v>
      </c>
      <c r="C165" s="928">
        <f>+'Statens skalatrin'!N102</f>
        <v>301881.8</v>
      </c>
      <c r="D165" s="929"/>
      <c r="E165" s="176">
        <f t="shared" si="7"/>
        <v>25156.82</v>
      </c>
      <c r="F165" s="205">
        <f>ROUND(C165*(1+'Løntabel gældende fra'!$D$7/100),0)</f>
        <v>377088</v>
      </c>
      <c r="G165" s="176">
        <f t="shared" si="8"/>
        <v>31424</v>
      </c>
      <c r="H165" s="967">
        <f t="shared" si="9"/>
        <v>4713.6000000000004</v>
      </c>
      <c r="I165" s="968"/>
    </row>
    <row r="166" spans="1:9">
      <c r="A166" s="589">
        <v>3</v>
      </c>
      <c r="B166" s="590">
        <v>35</v>
      </c>
      <c r="C166" s="928">
        <f>+'Statens skalatrin'!N108</f>
        <v>313854.56</v>
      </c>
      <c r="D166" s="929"/>
      <c r="E166" s="176">
        <f t="shared" si="7"/>
        <v>26154.55</v>
      </c>
      <c r="F166" s="205">
        <f>ROUND(C166*(1+'Løntabel gældende fra'!$D$7/100),0)</f>
        <v>392044</v>
      </c>
      <c r="G166" s="176">
        <f t="shared" si="8"/>
        <v>32670.33</v>
      </c>
      <c r="H166" s="967">
        <f t="shared" si="9"/>
        <v>4900.55</v>
      </c>
      <c r="I166" s="968"/>
    </row>
    <row r="167" spans="1:9">
      <c r="A167" s="589">
        <v>3</v>
      </c>
      <c r="B167" s="590">
        <v>37</v>
      </c>
      <c r="C167" s="928">
        <f>+'Statens skalatrin'!N114</f>
        <v>326457.34000000003</v>
      </c>
      <c r="D167" s="929"/>
      <c r="E167" s="176">
        <f t="shared" si="7"/>
        <v>27204.78</v>
      </c>
      <c r="F167" s="205">
        <f>ROUND(C167*(1+'Løntabel gældende fra'!$D$7/100),0)</f>
        <v>407786</v>
      </c>
      <c r="G167" s="176">
        <f t="shared" si="8"/>
        <v>33982.17</v>
      </c>
      <c r="H167" s="967">
        <f t="shared" si="9"/>
        <v>5097.33</v>
      </c>
      <c r="I167" s="968"/>
    </row>
    <row r="168" spans="1:9">
      <c r="A168" s="589">
        <v>3</v>
      </c>
      <c r="B168" s="590">
        <v>40</v>
      </c>
      <c r="C168" s="928">
        <f>+'Statens skalatrin'!N123</f>
        <v>347027.46</v>
      </c>
      <c r="D168" s="929"/>
      <c r="E168" s="176">
        <f t="shared" si="7"/>
        <v>28918.959999999999</v>
      </c>
      <c r="F168" s="205">
        <f>ROUND(C168*(1+'Løntabel gældende fra'!$D$7/100),0)</f>
        <v>433481</v>
      </c>
      <c r="G168" s="176">
        <f t="shared" si="8"/>
        <v>36123.42</v>
      </c>
      <c r="H168" s="967">
        <f t="shared" si="9"/>
        <v>5418.51</v>
      </c>
      <c r="I168" s="968"/>
    </row>
    <row r="169" spans="1:9">
      <c r="A169" s="589">
        <v>35</v>
      </c>
      <c r="B169" s="590">
        <v>35</v>
      </c>
      <c r="C169" s="928">
        <f>+C166</f>
        <v>313854.56</v>
      </c>
      <c r="D169" s="929"/>
      <c r="E169" s="176">
        <f t="shared" si="7"/>
        <v>26154.55</v>
      </c>
      <c r="F169" s="205">
        <f>ROUND(C169*(1+'Løntabel gældende fra'!$D$7/100),0)</f>
        <v>392044</v>
      </c>
      <c r="G169" s="176">
        <f t="shared" si="8"/>
        <v>32670.33</v>
      </c>
      <c r="H169" s="967">
        <f t="shared" si="9"/>
        <v>4900.55</v>
      </c>
      <c r="I169" s="968"/>
    </row>
    <row r="170" spans="1:9">
      <c r="A170" s="589">
        <v>36</v>
      </c>
      <c r="B170" s="590">
        <v>36</v>
      </c>
      <c r="C170" s="928">
        <f>+'Statens skalatrin'!N111</f>
        <v>320074.68</v>
      </c>
      <c r="D170" s="929"/>
      <c r="E170" s="176">
        <f t="shared" si="7"/>
        <v>26672.89</v>
      </c>
      <c r="F170" s="205">
        <f>ROUND(C170*(1+'Løntabel gældende fra'!$D$7/100),0)</f>
        <v>399814</v>
      </c>
      <c r="G170" s="176">
        <f t="shared" si="8"/>
        <v>33317.83</v>
      </c>
      <c r="H170" s="967">
        <f t="shared" si="9"/>
        <v>4997.67</v>
      </c>
      <c r="I170" s="968"/>
    </row>
    <row r="171" spans="1:9" ht="15" hidden="1" customHeight="1">
      <c r="A171" s="589">
        <v>38</v>
      </c>
      <c r="B171" s="590">
        <v>38</v>
      </c>
      <c r="C171" s="928">
        <f>+'Statens skalatrin'!N117</f>
        <v>333128.88</v>
      </c>
      <c r="D171" s="929"/>
      <c r="E171" s="176">
        <f t="shared" si="7"/>
        <v>27760.74</v>
      </c>
      <c r="F171" s="205">
        <f>ROUND(C171*(1+'Løntabel gældende fra'!$D$7/100),0)</f>
        <v>416120</v>
      </c>
      <c r="G171" s="176">
        <f t="shared" si="8"/>
        <v>34676.67</v>
      </c>
      <c r="H171" s="967">
        <f t="shared" si="9"/>
        <v>5201.5</v>
      </c>
      <c r="I171" s="968"/>
    </row>
    <row r="172" spans="1:9" s="68" customFormat="1" ht="15.75" customHeight="1">
      <c r="A172" s="589">
        <v>40</v>
      </c>
      <c r="B172" s="590">
        <v>40</v>
      </c>
      <c r="C172" s="928">
        <f>+'Statens skalatrin'!N123</f>
        <v>347027.46</v>
      </c>
      <c r="D172" s="929"/>
      <c r="E172" s="176">
        <f t="shared" si="7"/>
        <v>28918.959999999999</v>
      </c>
      <c r="F172" s="205">
        <f>ROUND(C172*(1+'Løntabel gældende fra'!$D$7/100),0)</f>
        <v>433481</v>
      </c>
      <c r="G172" s="176">
        <f t="shared" si="8"/>
        <v>36123.42</v>
      </c>
      <c r="H172" s="967">
        <f t="shared" si="9"/>
        <v>5418.51</v>
      </c>
      <c r="I172" s="968"/>
    </row>
    <row r="173" spans="1:9" s="68" customFormat="1">
      <c r="A173" s="589">
        <v>41</v>
      </c>
      <c r="B173" s="590">
        <v>41</v>
      </c>
      <c r="C173" s="928">
        <f>+'Statens skalatrin'!N126</f>
        <v>354249.23</v>
      </c>
      <c r="D173" s="929"/>
      <c r="E173" s="176">
        <f t="shared" si="7"/>
        <v>29520.77</v>
      </c>
      <c r="F173" s="205">
        <f>ROUND(C173*(1+'Løntabel gældende fra'!$D$7/100),0)</f>
        <v>442502</v>
      </c>
      <c r="G173" s="176">
        <f t="shared" si="8"/>
        <v>36875.17</v>
      </c>
      <c r="H173" s="967">
        <f t="shared" si="9"/>
        <v>5531.28</v>
      </c>
      <c r="I173" s="968"/>
    </row>
    <row r="174" spans="1:9" s="68" customFormat="1" ht="15.75" thickBot="1">
      <c r="A174" s="813">
        <v>42</v>
      </c>
      <c r="B174" s="814">
        <v>42</v>
      </c>
      <c r="C174" s="1139">
        <f>+'Statens skalatrin'!N129</f>
        <v>361659.2</v>
      </c>
      <c r="D174" s="1140"/>
      <c r="E174" s="815">
        <f t="shared" si="7"/>
        <v>30138.27</v>
      </c>
      <c r="F174" s="816">
        <f>ROUND(C174*(1+'Løntabel gældende fra'!$D$7/100),0)</f>
        <v>451758</v>
      </c>
      <c r="G174" s="815">
        <f t="shared" si="8"/>
        <v>37646.5</v>
      </c>
      <c r="H174" s="1137">
        <f t="shared" si="9"/>
        <v>5646.98</v>
      </c>
      <c r="I174" s="1138"/>
    </row>
    <row r="175" spans="1:9" s="68" customFormat="1" ht="63.95" customHeight="1" thickBot="1">
      <c r="A175" s="1130" t="s">
        <v>327</v>
      </c>
      <c r="B175" s="1131"/>
      <c r="C175" s="1131"/>
      <c r="D175" s="1131"/>
      <c r="E175" s="1131"/>
      <c r="F175" s="1131"/>
      <c r="G175" s="1131"/>
      <c r="H175" s="1131"/>
      <c r="I175" s="1132"/>
    </row>
    <row r="176" spans="1:9">
      <c r="A176" s="71"/>
      <c r="B176" s="71"/>
      <c r="C176" s="71"/>
      <c r="D176" s="72"/>
      <c r="E176" s="70"/>
      <c r="F176" s="68"/>
      <c r="G176" s="68"/>
      <c r="H176" s="68"/>
      <c r="I176" s="68"/>
    </row>
    <row r="177" spans="1:9">
      <c r="A177" s="71"/>
      <c r="B177" s="71"/>
      <c r="C177" s="71"/>
      <c r="D177" s="73"/>
      <c r="E177" s="74"/>
      <c r="F177" s="68"/>
      <c r="G177" s="68"/>
      <c r="H177" s="68"/>
      <c r="I177" s="68"/>
    </row>
    <row r="178" spans="1:9">
      <c r="A178" s="7"/>
      <c r="B178" s="7"/>
      <c r="C178" s="7"/>
      <c r="D178" s="7"/>
      <c r="E178" s="7"/>
      <c r="F178" s="7"/>
      <c r="G178" s="7"/>
      <c r="H178" s="7"/>
      <c r="I178" s="7"/>
    </row>
    <row r="179" spans="1:9">
      <c r="A179" s="7"/>
      <c r="B179" s="7"/>
      <c r="C179" s="7"/>
      <c r="D179" s="7"/>
      <c r="E179" s="7"/>
      <c r="F179" s="7"/>
      <c r="G179" s="7"/>
      <c r="H179" s="7"/>
      <c r="I179" s="7"/>
    </row>
    <row r="180" spans="1:9">
      <c r="A180" s="7"/>
      <c r="B180" s="7"/>
      <c r="C180" s="7"/>
      <c r="D180" s="7"/>
      <c r="E180" s="7"/>
      <c r="F180" s="7"/>
      <c r="G180" s="7"/>
      <c r="H180" s="7"/>
      <c r="I180" s="7"/>
    </row>
    <row r="181" spans="1:9">
      <c r="A181" s="7"/>
      <c r="B181" s="7"/>
      <c r="C181" s="7"/>
      <c r="D181" s="7"/>
      <c r="E181" s="7"/>
      <c r="F181" s="7"/>
      <c r="G181" s="7"/>
      <c r="H181" s="7"/>
      <c r="I181" s="7"/>
    </row>
    <row r="182" spans="1:9">
      <c r="A182" s="7"/>
      <c r="B182" s="7"/>
      <c r="C182" s="7"/>
      <c r="D182" s="7"/>
      <c r="E182" s="7"/>
      <c r="F182" s="7"/>
      <c r="G182" s="7"/>
      <c r="H182" s="7"/>
      <c r="I182" s="7"/>
    </row>
    <row r="183" spans="1:9">
      <c r="A183" s="7"/>
      <c r="B183" s="7"/>
      <c r="C183" s="7"/>
      <c r="D183" s="7"/>
      <c r="E183" s="7"/>
      <c r="F183" s="7"/>
      <c r="G183" s="7"/>
      <c r="H183" s="7"/>
      <c r="I183" s="7"/>
    </row>
    <row r="184" spans="1:9">
      <c r="A184" s="7"/>
      <c r="B184" s="7"/>
      <c r="C184" s="7"/>
      <c r="D184" s="7"/>
      <c r="E184" s="7"/>
      <c r="F184" s="7"/>
      <c r="G184" s="7"/>
      <c r="H184" s="7"/>
      <c r="I184" s="7"/>
    </row>
    <row r="185" spans="1:9">
      <c r="A185" s="7"/>
      <c r="B185" s="7"/>
      <c r="C185" s="7"/>
      <c r="D185" s="7"/>
      <c r="E185" s="7"/>
      <c r="F185" s="7"/>
      <c r="G185" s="7"/>
      <c r="H185" s="7"/>
      <c r="I185" s="7"/>
    </row>
    <row r="186" spans="1:9">
      <c r="A186" s="7"/>
      <c r="B186" s="7"/>
      <c r="C186" s="7"/>
      <c r="D186" s="7"/>
      <c r="E186" s="7"/>
      <c r="F186" s="7"/>
      <c r="G186" s="7"/>
      <c r="H186" s="7"/>
      <c r="I186" s="7"/>
    </row>
    <row r="187" spans="1:9">
      <c r="A187" s="7"/>
      <c r="B187" s="7"/>
      <c r="C187" s="7"/>
      <c r="D187" s="7"/>
      <c r="E187" s="7"/>
      <c r="F187" s="7"/>
      <c r="G187" s="7"/>
      <c r="H187" s="7"/>
      <c r="I187" s="7"/>
    </row>
    <row r="188" spans="1:9">
      <c r="A188" s="7"/>
      <c r="B188" s="7"/>
      <c r="C188" s="7"/>
      <c r="D188" s="7"/>
      <c r="E188" s="7"/>
      <c r="F188" s="7"/>
      <c r="G188" s="7"/>
      <c r="H188" s="7"/>
      <c r="I188" s="7"/>
    </row>
    <row r="189" spans="1:9">
      <c r="A189" s="7"/>
      <c r="B189" s="7"/>
      <c r="C189" s="7"/>
      <c r="D189" s="7"/>
      <c r="E189" s="7"/>
      <c r="F189" s="7"/>
      <c r="G189" s="7"/>
      <c r="H189" s="7"/>
      <c r="I189" s="7"/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/>
      <c r="E191" s="7"/>
      <c r="F191" s="7"/>
      <c r="G191" s="7"/>
      <c r="H191" s="7"/>
      <c r="I191" s="7"/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/>
      <c r="E193" s="7"/>
      <c r="F193" s="7"/>
      <c r="G193" s="7"/>
      <c r="H193" s="7"/>
      <c r="I193" s="7"/>
    </row>
    <row r="194" spans="1:9">
      <c r="A194" s="7"/>
      <c r="B194" s="7"/>
      <c r="C194" s="7"/>
      <c r="D194" s="7"/>
      <c r="E194" s="7"/>
      <c r="F194" s="7"/>
      <c r="G194" s="7"/>
      <c r="H194" s="7"/>
      <c r="I194" s="7"/>
    </row>
    <row r="195" spans="1:9">
      <c r="A195" s="7"/>
      <c r="B195" s="7"/>
      <c r="C195" s="7"/>
      <c r="D195" s="7"/>
      <c r="E195" s="7"/>
      <c r="F195" s="7"/>
      <c r="G195" s="7"/>
      <c r="H195" s="7"/>
      <c r="I195" s="7"/>
    </row>
    <row r="196" spans="1:9">
      <c r="A196" s="7"/>
      <c r="B196" s="7"/>
      <c r="C196" s="7"/>
      <c r="D196" s="7"/>
      <c r="E196" s="7"/>
      <c r="F196" s="7"/>
      <c r="G196" s="7"/>
      <c r="H196" s="7"/>
      <c r="I196" s="7"/>
    </row>
    <row r="197" spans="1:9">
      <c r="A197" s="7"/>
      <c r="B197" s="7"/>
      <c r="C197" s="7"/>
      <c r="D197" s="7"/>
      <c r="E197" s="7"/>
      <c r="F197" s="7"/>
      <c r="G197" s="7"/>
      <c r="H197" s="7"/>
      <c r="I197" s="7"/>
    </row>
    <row r="198" spans="1:9">
      <c r="A198" s="7"/>
      <c r="B198" s="7"/>
      <c r="C198" s="7"/>
      <c r="D198" s="7"/>
      <c r="E198" s="7"/>
      <c r="F198" s="7"/>
      <c r="G198" s="7"/>
      <c r="H198" s="7"/>
      <c r="I198" s="7"/>
    </row>
    <row r="199" spans="1:9">
      <c r="A199" s="7"/>
      <c r="B199" s="7"/>
      <c r="C199" s="7"/>
      <c r="D199" s="7"/>
      <c r="E199" s="7"/>
      <c r="F199" s="7"/>
      <c r="G199" s="7"/>
      <c r="H199" s="7"/>
      <c r="I199" s="7"/>
    </row>
    <row r="200" spans="1:9">
      <c r="A200" s="7"/>
      <c r="B200" s="7"/>
      <c r="C200" s="7"/>
      <c r="D200" s="7"/>
      <c r="E200" s="7"/>
      <c r="F200" s="7"/>
      <c r="G200" s="7"/>
      <c r="H200" s="7"/>
      <c r="I200" s="7"/>
    </row>
    <row r="201" spans="1:9">
      <c r="A201" s="7"/>
      <c r="B201" s="7"/>
      <c r="C201" s="7"/>
      <c r="D201" s="7"/>
      <c r="E201" s="7"/>
      <c r="F201" s="7"/>
      <c r="G201" s="7"/>
      <c r="H201" s="7"/>
      <c r="I201" s="7"/>
    </row>
    <row r="202" spans="1:9">
      <c r="A202" s="7"/>
      <c r="B202" s="7"/>
      <c r="C202" s="7"/>
      <c r="D202" s="7"/>
      <c r="E202" s="7"/>
      <c r="F202" s="7"/>
      <c r="G202" s="7"/>
      <c r="H202" s="7"/>
      <c r="I202" s="7"/>
    </row>
    <row r="203" spans="1:9">
      <c r="A203" s="7"/>
      <c r="B203" s="7"/>
      <c r="C203" s="7"/>
      <c r="D203" s="7"/>
      <c r="E203" s="7"/>
      <c r="F203" s="7"/>
      <c r="G203" s="7"/>
      <c r="H203" s="7"/>
      <c r="I203" s="7"/>
    </row>
    <row r="204" spans="1:9">
      <c r="A204" s="7"/>
      <c r="B204" s="7"/>
      <c r="C204" s="7"/>
      <c r="D204" s="7"/>
      <c r="E204" s="7"/>
      <c r="F204" s="7"/>
      <c r="G204" s="7"/>
      <c r="H204" s="7"/>
      <c r="I204" s="7"/>
    </row>
    <row r="205" spans="1:9">
      <c r="A205" s="7"/>
      <c r="B205" s="7"/>
      <c r="C205" s="7"/>
      <c r="D205" s="7"/>
      <c r="E205" s="7"/>
      <c r="F205" s="7"/>
      <c r="G205" s="7"/>
      <c r="H205" s="7"/>
      <c r="I205" s="7"/>
    </row>
    <row r="206" spans="1:9">
      <c r="A206" s="7"/>
      <c r="B206" s="7"/>
      <c r="C206" s="7"/>
      <c r="D206" s="7"/>
      <c r="E206" s="7"/>
      <c r="F206" s="7"/>
      <c r="G206" s="7"/>
      <c r="H206" s="7"/>
      <c r="I206" s="7"/>
    </row>
    <row r="207" spans="1:9">
      <c r="A207" s="7"/>
      <c r="B207" s="7"/>
      <c r="C207" s="7"/>
      <c r="D207" s="7"/>
      <c r="E207" s="7"/>
      <c r="F207" s="7"/>
      <c r="G207" s="7"/>
      <c r="H207" s="7"/>
      <c r="I207" s="7"/>
    </row>
    <row r="208" spans="1:9">
      <c r="A208" s="7"/>
      <c r="B208" s="7"/>
      <c r="C208" s="7"/>
      <c r="D208" s="7"/>
      <c r="E208" s="7"/>
      <c r="F208" s="7"/>
      <c r="G208" s="7"/>
      <c r="H208" s="7"/>
      <c r="I208" s="7"/>
    </row>
    <row r="209" spans="1:9">
      <c r="A209" s="7"/>
      <c r="B209" s="7"/>
      <c r="C209" s="7"/>
      <c r="D209" s="7"/>
      <c r="E209" s="7"/>
      <c r="F209" s="7"/>
      <c r="G209" s="7"/>
      <c r="H209" s="7"/>
      <c r="I209" s="7"/>
    </row>
    <row r="210" spans="1:9">
      <c r="A210" s="7"/>
      <c r="B210" s="7"/>
      <c r="C210" s="7"/>
      <c r="D210" s="7"/>
      <c r="E210" s="7"/>
      <c r="F210" s="7"/>
      <c r="G210" s="7"/>
      <c r="H210" s="7"/>
      <c r="I210" s="7"/>
    </row>
    <row r="211" spans="1:9">
      <c r="A211" s="7"/>
      <c r="B211" s="7"/>
      <c r="C211" s="7"/>
      <c r="D211" s="7"/>
      <c r="E211" s="7"/>
      <c r="F211" s="7"/>
      <c r="G211" s="7"/>
      <c r="H211" s="7"/>
      <c r="I211" s="7"/>
    </row>
    <row r="212" spans="1:9">
      <c r="A212" s="7"/>
      <c r="B212" s="7"/>
      <c r="C212" s="7"/>
      <c r="D212" s="7"/>
      <c r="E212" s="7"/>
      <c r="F212" s="7"/>
      <c r="G212" s="7"/>
      <c r="H212" s="7"/>
      <c r="I212" s="7"/>
    </row>
    <row r="213" spans="1:9">
      <c r="A213" s="7"/>
      <c r="B213" s="7"/>
      <c r="C213" s="7"/>
      <c r="D213" s="7"/>
      <c r="E213" s="7"/>
      <c r="F213" s="7"/>
      <c r="G213" s="7"/>
      <c r="H213" s="7"/>
      <c r="I213" s="7"/>
    </row>
    <row r="214" spans="1:9">
      <c r="A214" s="7"/>
      <c r="B214" s="7"/>
      <c r="C214" s="7"/>
      <c r="D214" s="7"/>
      <c r="E214" s="7"/>
      <c r="F214" s="7"/>
      <c r="G214" s="7"/>
      <c r="H214" s="7"/>
      <c r="I214" s="7"/>
    </row>
    <row r="215" spans="1:9">
      <c r="A215" s="7"/>
      <c r="B215" s="7"/>
      <c r="C215" s="7"/>
      <c r="D215" s="7"/>
      <c r="E215" s="7"/>
      <c r="F215" s="7"/>
      <c r="G215" s="7"/>
      <c r="H215" s="7"/>
      <c r="I215" s="7"/>
    </row>
    <row r="216" spans="1:9">
      <c r="A216" s="7"/>
      <c r="B216" s="7"/>
      <c r="C216" s="7"/>
      <c r="D216" s="7"/>
      <c r="E216" s="7"/>
      <c r="F216" s="7"/>
      <c r="G216" s="7"/>
      <c r="H216" s="7"/>
      <c r="I216" s="7"/>
    </row>
    <row r="217" spans="1:9">
      <c r="A217" s="7"/>
      <c r="B217" s="7"/>
      <c r="C217" s="7"/>
      <c r="D217" s="7"/>
      <c r="E217" s="7"/>
      <c r="F217" s="7"/>
      <c r="G217" s="7"/>
      <c r="H217" s="7"/>
      <c r="I217" s="7"/>
    </row>
    <row r="218" spans="1:9">
      <c r="A218" s="7"/>
      <c r="B218" s="7"/>
      <c r="C218" s="7"/>
      <c r="D218" s="7"/>
      <c r="E218" s="7"/>
      <c r="F218" s="7"/>
      <c r="G218" s="7"/>
      <c r="H218" s="7"/>
      <c r="I218" s="7"/>
    </row>
    <row r="219" spans="1:9">
      <c r="A219" s="7"/>
      <c r="B219" s="7"/>
      <c r="C219" s="7"/>
      <c r="D219" s="7"/>
      <c r="E219" s="7"/>
      <c r="F219" s="7"/>
      <c r="G219" s="7"/>
      <c r="H219" s="7"/>
      <c r="I219" s="7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</sheetData>
  <sheetProtection sheet="1" objects="1" scenarios="1"/>
  <mergeCells count="267">
    <mergeCell ref="F125:I125"/>
    <mergeCell ref="F126:I126"/>
    <mergeCell ref="F127:I127"/>
    <mergeCell ref="F128:I128"/>
    <mergeCell ref="B125:E125"/>
    <mergeCell ref="B126:E126"/>
    <mergeCell ref="B127:E127"/>
    <mergeCell ref="B128:E128"/>
    <mergeCell ref="C131:E131"/>
    <mergeCell ref="A129:I129"/>
    <mergeCell ref="H130:I131"/>
    <mergeCell ref="H132:I132"/>
    <mergeCell ref="H133:I133"/>
    <mergeCell ref="H134:I134"/>
    <mergeCell ref="H165:I165"/>
    <mergeCell ref="H146:I146"/>
    <mergeCell ref="A147:I147"/>
    <mergeCell ref="A148:I148"/>
    <mergeCell ref="H142:I142"/>
    <mergeCell ref="C160:D160"/>
    <mergeCell ref="H141:I141"/>
    <mergeCell ref="C134:D134"/>
    <mergeCell ref="C145:D145"/>
    <mergeCell ref="C146:D146"/>
    <mergeCell ref="C140:D140"/>
    <mergeCell ref="C141:D141"/>
    <mergeCell ref="C142:D142"/>
    <mergeCell ref="B153:E153"/>
    <mergeCell ref="B154:E154"/>
    <mergeCell ref="C144:D144"/>
    <mergeCell ref="C135:D135"/>
    <mergeCell ref="C137:D137"/>
    <mergeCell ref="C138:D138"/>
    <mergeCell ref="C139:D139"/>
    <mergeCell ref="C161:D161"/>
    <mergeCell ref="H173:I173"/>
    <mergeCell ref="H174:I174"/>
    <mergeCell ref="C174:D174"/>
    <mergeCell ref="C166:D166"/>
    <mergeCell ref="C167:D167"/>
    <mergeCell ref="C169:D169"/>
    <mergeCell ref="C170:D170"/>
    <mergeCell ref="C171:D171"/>
    <mergeCell ref="C172:D172"/>
    <mergeCell ref="C168:D168"/>
    <mergeCell ref="C173:D173"/>
    <mergeCell ref="H166:I166"/>
    <mergeCell ref="H167:I167"/>
    <mergeCell ref="H168:I168"/>
    <mergeCell ref="H169:I169"/>
    <mergeCell ref="H170:I170"/>
    <mergeCell ref="H171:I171"/>
    <mergeCell ref="H172:I172"/>
    <mergeCell ref="A175:I175"/>
    <mergeCell ref="C162:D162"/>
    <mergeCell ref="C163:D163"/>
    <mergeCell ref="C164:D164"/>
    <mergeCell ref="C165:D165"/>
    <mergeCell ref="F150:G150"/>
    <mergeCell ref="F151:I151"/>
    <mergeCell ref="B150:E151"/>
    <mergeCell ref="B152:E152"/>
    <mergeCell ref="B155:E155"/>
    <mergeCell ref="F152:I152"/>
    <mergeCell ref="F153:I153"/>
    <mergeCell ref="F154:I154"/>
    <mergeCell ref="F155:I155"/>
    <mergeCell ref="H157:I158"/>
    <mergeCell ref="H159:I159"/>
    <mergeCell ref="H160:I160"/>
    <mergeCell ref="H161:I161"/>
    <mergeCell ref="H162:I162"/>
    <mergeCell ref="H163:I163"/>
    <mergeCell ref="H164:I164"/>
    <mergeCell ref="B157:B159"/>
    <mergeCell ref="C157:E157"/>
    <mergeCell ref="F157:G157"/>
    <mergeCell ref="B55:C55"/>
    <mergeCell ref="D55:E55"/>
    <mergeCell ref="F51:G51"/>
    <mergeCell ref="F52:G52"/>
    <mergeCell ref="F53:G53"/>
    <mergeCell ref="A33:I33"/>
    <mergeCell ref="C27:E27"/>
    <mergeCell ref="A87:G88"/>
    <mergeCell ref="A89:G89"/>
    <mergeCell ref="F34:I34"/>
    <mergeCell ref="F60:G60"/>
    <mergeCell ref="B61:C61"/>
    <mergeCell ref="D61:E61"/>
    <mergeCell ref="F61:G61"/>
    <mergeCell ref="B62:C62"/>
    <mergeCell ref="D62:E62"/>
    <mergeCell ref="A75:G76"/>
    <mergeCell ref="D47:E47"/>
    <mergeCell ref="D52:E52"/>
    <mergeCell ref="F56:G56"/>
    <mergeCell ref="A73:I73"/>
    <mergeCell ref="F55:G55"/>
    <mergeCell ref="D46:E46"/>
    <mergeCell ref="A58:G58"/>
    <mergeCell ref="H135:I135"/>
    <mergeCell ref="A77:G77"/>
    <mergeCell ref="N4:V4"/>
    <mergeCell ref="A3:I3"/>
    <mergeCell ref="A25:I25"/>
    <mergeCell ref="A5:H5"/>
    <mergeCell ref="F17:H17"/>
    <mergeCell ref="B7:B9"/>
    <mergeCell ref="A7:A9"/>
    <mergeCell ref="A34:A35"/>
    <mergeCell ref="A15:H15"/>
    <mergeCell ref="C18:C19"/>
    <mergeCell ref="F18:F19"/>
    <mergeCell ref="F7:H7"/>
    <mergeCell ref="B34:E34"/>
    <mergeCell ref="A31:I31"/>
    <mergeCell ref="A6:H6"/>
    <mergeCell ref="A16:H16"/>
    <mergeCell ref="A32:I32"/>
    <mergeCell ref="F29:I29"/>
    <mergeCell ref="F112:G112"/>
    <mergeCell ref="A51:A52"/>
    <mergeCell ref="D97:E97"/>
    <mergeCell ref="H111:I111"/>
    <mergeCell ref="A1:I1"/>
    <mergeCell ref="A43:A44"/>
    <mergeCell ref="C7:E7"/>
    <mergeCell ref="C17:E17"/>
    <mergeCell ref="F27:I27"/>
    <mergeCell ref="B43:C43"/>
    <mergeCell ref="D43:E43"/>
    <mergeCell ref="B44:C44"/>
    <mergeCell ref="D44:E44"/>
    <mergeCell ref="A27:B27"/>
    <mergeCell ref="A17:B23"/>
    <mergeCell ref="A2:I2"/>
    <mergeCell ref="A29:B29"/>
    <mergeCell ref="A28:B28"/>
    <mergeCell ref="C28:E28"/>
    <mergeCell ref="C29:E29"/>
    <mergeCell ref="A42:G42"/>
    <mergeCell ref="F28:I28"/>
    <mergeCell ref="A41:G41"/>
    <mergeCell ref="A26:I26"/>
    <mergeCell ref="F43:G43"/>
    <mergeCell ref="F44:G44"/>
    <mergeCell ref="A101:C102"/>
    <mergeCell ref="F101:G101"/>
    <mergeCell ref="A92:G92"/>
    <mergeCell ref="A91:G91"/>
    <mergeCell ref="A79:I79"/>
    <mergeCell ref="A80:I80"/>
    <mergeCell ref="A84:I84"/>
    <mergeCell ref="A81:G82"/>
    <mergeCell ref="A83:G83"/>
    <mergeCell ref="A90:G90"/>
    <mergeCell ref="D101:E101"/>
    <mergeCell ref="A97:C98"/>
    <mergeCell ref="A121:I121"/>
    <mergeCell ref="D45:E45"/>
    <mergeCell ref="B45:C45"/>
    <mergeCell ref="B53:C53"/>
    <mergeCell ref="D53:E53"/>
    <mergeCell ref="F45:G45"/>
    <mergeCell ref="F46:G46"/>
    <mergeCell ref="A67:I67"/>
    <mergeCell ref="F47:G47"/>
    <mergeCell ref="F54:G54"/>
    <mergeCell ref="B47:C47"/>
    <mergeCell ref="F62:G62"/>
    <mergeCell ref="B63:C63"/>
    <mergeCell ref="D63:E63"/>
    <mergeCell ref="F63:G63"/>
    <mergeCell ref="F97:G97"/>
    <mergeCell ref="A96:G96"/>
    <mergeCell ref="A68:I68"/>
    <mergeCell ref="A74:I74"/>
    <mergeCell ref="A86:I86"/>
    <mergeCell ref="D98:E98"/>
    <mergeCell ref="F98:G98"/>
    <mergeCell ref="F102:G102"/>
    <mergeCell ref="B64:C64"/>
    <mergeCell ref="A59:G59"/>
    <mergeCell ref="A60:A61"/>
    <mergeCell ref="B60:C60"/>
    <mergeCell ref="D60:E60"/>
    <mergeCell ref="D64:E64"/>
    <mergeCell ref="F64:G64"/>
    <mergeCell ref="B65:C65"/>
    <mergeCell ref="D65:E65"/>
    <mergeCell ref="F65:G65"/>
    <mergeCell ref="A69:F71"/>
    <mergeCell ref="B56:C56"/>
    <mergeCell ref="D56:E56"/>
    <mergeCell ref="B46:C46"/>
    <mergeCell ref="D102:E102"/>
    <mergeCell ref="A149:I149"/>
    <mergeCell ref="H137:I137"/>
    <mergeCell ref="H138:I138"/>
    <mergeCell ref="H139:I139"/>
    <mergeCell ref="H140:I140"/>
    <mergeCell ref="H136:I136"/>
    <mergeCell ref="H123:I123"/>
    <mergeCell ref="B123:E124"/>
    <mergeCell ref="H112:I112"/>
    <mergeCell ref="F124:I124"/>
    <mergeCell ref="F109:G109"/>
    <mergeCell ref="A120:I120"/>
    <mergeCell ref="A106:I106"/>
    <mergeCell ref="A108:I108"/>
    <mergeCell ref="A112:E112"/>
    <mergeCell ref="C133:D133"/>
    <mergeCell ref="C130:E130"/>
    <mergeCell ref="F130:G130"/>
    <mergeCell ref="A49:G49"/>
    <mergeCell ref="C158:E158"/>
    <mergeCell ref="F158:G158"/>
    <mergeCell ref="A156:H156"/>
    <mergeCell ref="A157:A159"/>
    <mergeCell ref="A150:A151"/>
    <mergeCell ref="C136:D136"/>
    <mergeCell ref="C143:D143"/>
    <mergeCell ref="H143:I143"/>
    <mergeCell ref="H144:I144"/>
    <mergeCell ref="H145:I145"/>
    <mergeCell ref="C159:D159"/>
    <mergeCell ref="B54:C54"/>
    <mergeCell ref="D54:E54"/>
    <mergeCell ref="B51:C51"/>
    <mergeCell ref="D51:E51"/>
    <mergeCell ref="B52:C52"/>
    <mergeCell ref="A50:G50"/>
    <mergeCell ref="F131:G131"/>
    <mergeCell ref="A130:A132"/>
    <mergeCell ref="A93:I93"/>
    <mergeCell ref="A94:I94"/>
    <mergeCell ref="A85:I85"/>
    <mergeCell ref="A123:A124"/>
    <mergeCell ref="H109:I109"/>
    <mergeCell ref="B130:B132"/>
    <mergeCell ref="C132:D132"/>
    <mergeCell ref="F123:G123"/>
    <mergeCell ref="A122:I122"/>
    <mergeCell ref="A116:E116"/>
    <mergeCell ref="F116:G116"/>
    <mergeCell ref="H116:I116"/>
    <mergeCell ref="A117:E117"/>
    <mergeCell ref="F117:G117"/>
    <mergeCell ref="H117:I117"/>
    <mergeCell ref="A118:I118"/>
    <mergeCell ref="A107:I107"/>
    <mergeCell ref="A113:E113"/>
    <mergeCell ref="F113:G113"/>
    <mergeCell ref="H113:I113"/>
    <mergeCell ref="A114:E114"/>
    <mergeCell ref="F114:G114"/>
    <mergeCell ref="H114:I114"/>
    <mergeCell ref="A115:E115"/>
    <mergeCell ref="F115:G115"/>
    <mergeCell ref="H115:I115"/>
    <mergeCell ref="F110:G110"/>
    <mergeCell ref="H110:I110"/>
    <mergeCell ref="A109:E109"/>
    <mergeCell ref="A110:E110"/>
    <mergeCell ref="A111:E111"/>
    <mergeCell ref="F111:G111"/>
  </mergeCells>
  <phoneticPr fontId="7" type="noConversion"/>
  <pageMargins left="0.43307086614173229" right="0.39370078740157483" top="0.39370078740157483" bottom="0.39370078740157483" header="0.19685039370078741" footer="7.874015748031496E-2"/>
  <pageSetup paperSize="9" scale="78" fitToHeight="0" orientation="portrait" r:id="rId1"/>
  <headerFooter>
    <oddFooter>&amp;C&amp;"Times New Roman,Normal"&amp;8&amp;K000000Løntabel for Lærere og Børnehaveklasseledere&amp;R&amp;"Times New Roman,Normal"&amp;8&amp;K000000Side &amp;Paf i alt &amp;N sider</oddFooter>
  </headerFooter>
  <rowBreaks count="2" manualBreakCount="2">
    <brk id="56" max="16383" man="1"/>
    <brk id="11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2"/>
  <sheetViews>
    <sheetView view="pageBreakPreview" zoomScale="85" zoomScaleSheetLayoutView="85" workbookViewId="0">
      <selection activeCell="B44" sqref="B44:D44"/>
    </sheetView>
  </sheetViews>
  <sheetFormatPr defaultColWidth="8.85546875" defaultRowHeight="15"/>
  <cols>
    <col min="1" max="1" width="21.7109375" style="2" customWidth="1"/>
    <col min="2" max="2" width="20.7109375" style="2" customWidth="1"/>
    <col min="3" max="3" width="14" style="2" customWidth="1"/>
    <col min="4" max="4" width="21.7109375" style="2" customWidth="1"/>
    <col min="5" max="5" width="17.140625" style="2" customWidth="1"/>
    <col min="6" max="6" width="21.28515625" style="2" customWidth="1"/>
    <col min="7" max="7" width="0.140625" style="2" customWidth="1"/>
    <col min="8" max="8" width="17.140625" style="2" customWidth="1"/>
    <col min="9" max="9" width="26.7109375" style="2" customWidth="1"/>
    <col min="10" max="16384" width="8.85546875" style="2"/>
  </cols>
  <sheetData>
    <row r="1" spans="1:16" ht="27.95" customHeight="1">
      <c r="A1" s="1053" t="s">
        <v>356</v>
      </c>
      <c r="B1" s="1054"/>
      <c r="C1" s="1054"/>
      <c r="D1" s="1054"/>
      <c r="E1" s="1054"/>
      <c r="F1" s="1054"/>
      <c r="G1" s="1055"/>
      <c r="N1" s="749"/>
      <c r="O1" s="749"/>
      <c r="P1" s="749"/>
    </row>
    <row r="2" spans="1:16" ht="27" customHeight="1" thickBot="1">
      <c r="A2" s="1085" t="str">
        <f>'Forside 1'!A6:I6</f>
        <v>Gældende fra 1. november 2025</v>
      </c>
      <c r="B2" s="1086"/>
      <c r="C2" s="1086"/>
      <c r="D2" s="1086"/>
      <c r="E2" s="1086"/>
      <c r="F2" s="1086"/>
      <c r="G2" s="765"/>
      <c r="L2" s="749"/>
      <c r="M2" s="749"/>
      <c r="N2" s="749"/>
    </row>
    <row r="3" spans="1:16" ht="18" customHeight="1" thickBot="1">
      <c r="A3" s="751"/>
      <c r="B3" s="751"/>
      <c r="C3" s="751"/>
      <c r="D3" s="751"/>
      <c r="E3" s="751"/>
      <c r="F3" s="751"/>
      <c r="G3" s="750"/>
      <c r="N3" s="749"/>
      <c r="O3" s="749"/>
      <c r="P3" s="749"/>
    </row>
    <row r="4" spans="1:16" ht="14.1" customHeight="1">
      <c r="A4" s="1170" t="s">
        <v>323</v>
      </c>
      <c r="B4" s="1171"/>
      <c r="C4" s="1171"/>
      <c r="D4" s="1171"/>
      <c r="E4" s="1171"/>
      <c r="F4" s="1172"/>
      <c r="G4" s="78"/>
      <c r="N4" s="1165"/>
      <c r="O4" s="1165"/>
      <c r="P4" s="1165"/>
    </row>
    <row r="5" spans="1:16" ht="14.1" customHeight="1">
      <c r="A5" s="1173"/>
      <c r="B5" s="1174"/>
      <c r="C5" s="1174"/>
      <c r="D5" s="1174"/>
      <c r="E5" s="1174"/>
      <c r="F5" s="1175"/>
      <c r="G5" s="78"/>
      <c r="H5"/>
      <c r="N5" s="42"/>
      <c r="O5" s="42"/>
      <c r="P5" s="42"/>
    </row>
    <row r="6" spans="1:16" customFormat="1" ht="15" customHeight="1" thickBot="1">
      <c r="A6" s="999" t="s">
        <v>262</v>
      </c>
      <c r="B6" s="1000"/>
      <c r="C6" s="1000"/>
      <c r="D6" s="1000"/>
      <c r="E6" s="1000"/>
      <c r="F6" s="1001"/>
      <c r="G6" s="78"/>
    </row>
    <row r="7" spans="1:16" customFormat="1" ht="15" customHeight="1">
      <c r="A7" s="1166"/>
      <c r="B7" s="1167"/>
      <c r="C7" s="1161" t="s">
        <v>128</v>
      </c>
      <c r="D7" s="1162"/>
      <c r="E7" s="1161" t="s">
        <v>292</v>
      </c>
      <c r="F7" s="1162"/>
      <c r="G7" s="60"/>
    </row>
    <row r="8" spans="1:16" customFormat="1" ht="24" customHeight="1" thickBot="1">
      <c r="A8" s="1168"/>
      <c r="B8" s="1169"/>
      <c r="C8" s="1158">
        <v>40999</v>
      </c>
      <c r="D8" s="1154"/>
      <c r="E8" s="1153" t="str">
        <f>'Løntabel gældende fra'!D1</f>
        <v>01/11/25</v>
      </c>
      <c r="F8" s="1154"/>
      <c r="G8" s="60"/>
    </row>
    <row r="9" spans="1:16" customFormat="1" ht="17.100000000000001" customHeight="1" thickBot="1">
      <c r="A9" s="1163" t="s">
        <v>112</v>
      </c>
      <c r="B9" s="1164"/>
      <c r="C9" s="1177" t="s">
        <v>269</v>
      </c>
      <c r="D9" s="1156"/>
      <c r="E9" s="1177" t="s">
        <v>269</v>
      </c>
      <c r="F9" s="1156"/>
      <c r="G9" s="60"/>
    </row>
    <row r="10" spans="1:16" customFormat="1" ht="17.100000000000001" customHeight="1">
      <c r="A10" s="1212" t="s">
        <v>113</v>
      </c>
      <c r="B10" s="1213"/>
      <c r="C10" s="95">
        <v>382714</v>
      </c>
      <c r="D10" s="96">
        <v>452573</v>
      </c>
      <c r="E10" s="95">
        <f>C10+C10*'Løntabel gældende fra'!$D$7%</f>
        <v>478058.00796399999</v>
      </c>
      <c r="F10" s="96">
        <f>D10+D10*'Løntabel gældende fra'!$D$7%</f>
        <v>565320.701198</v>
      </c>
      <c r="G10" s="53"/>
    </row>
    <row r="11" spans="1:16" customFormat="1" ht="17.100000000000001" customHeight="1">
      <c r="A11" s="1208" t="s">
        <v>114</v>
      </c>
      <c r="B11" s="1209"/>
      <c r="C11" s="97">
        <v>412239</v>
      </c>
      <c r="D11" s="121">
        <v>492583</v>
      </c>
      <c r="E11" s="98">
        <f>C11+C11*'Løntabel gældende fra'!$D$7%</f>
        <v>514938.45311400003</v>
      </c>
      <c r="F11" s="93">
        <f>D11+D11*'Løntabel gældende fra'!$D$7%</f>
        <v>615298.23245800007</v>
      </c>
      <c r="G11" s="53"/>
    </row>
    <row r="12" spans="1:16" customFormat="1" ht="17.100000000000001" customHeight="1">
      <c r="A12" s="1214" t="s">
        <v>321</v>
      </c>
      <c r="B12" s="1215"/>
      <c r="C12" s="98">
        <v>447845</v>
      </c>
      <c r="D12" s="93">
        <v>537363</v>
      </c>
      <c r="E12" s="98">
        <f>C12+C12*'Løntabel gældende fra'!$D$7%</f>
        <v>559414.83346999995</v>
      </c>
      <c r="F12" s="93">
        <f>D12+D12*'Løntabel gældende fra'!$D$7%</f>
        <v>671234.09473800007</v>
      </c>
      <c r="G12" s="53"/>
      <c r="H12" s="57"/>
    </row>
    <row r="13" spans="1:16" s="57" customFormat="1" ht="17.100000000000001" customHeight="1" thickBot="1">
      <c r="A13" s="1210" t="s">
        <v>322</v>
      </c>
      <c r="B13" s="1211"/>
      <c r="C13" s="620">
        <v>447845</v>
      </c>
      <c r="D13" s="621">
        <v>592411</v>
      </c>
      <c r="E13" s="620">
        <f>C13+C13*'Løntabel gældende fra'!$D$7%</f>
        <v>559414.83346999995</v>
      </c>
      <c r="F13" s="621">
        <f>D13+D13*'Løntabel gældende fra'!$D$7%</f>
        <v>739995.98278600001</v>
      </c>
      <c r="G13" s="53"/>
      <c r="H13" s="2"/>
    </row>
    <row r="14" spans="1:16" ht="18" customHeight="1" thickBot="1">
      <c r="A14" s="77"/>
      <c r="B14" s="77"/>
      <c r="C14" s="77"/>
      <c r="D14" s="77"/>
      <c r="E14" s="77"/>
      <c r="F14" s="77"/>
      <c r="G14" s="77"/>
    </row>
    <row r="15" spans="1:16" ht="14.1" customHeight="1">
      <c r="A15" s="996" t="s">
        <v>326</v>
      </c>
      <c r="B15" s="997"/>
      <c r="C15" s="997"/>
      <c r="D15" s="997"/>
      <c r="E15" s="997"/>
      <c r="F15" s="998"/>
      <c r="G15" s="78"/>
      <c r="H15" s="633"/>
    </row>
    <row r="16" spans="1:16" ht="14.1" customHeight="1">
      <c r="A16" s="1205"/>
      <c r="B16" s="1206"/>
      <c r="C16" s="1206"/>
      <c r="D16" s="1206"/>
      <c r="E16" s="1206"/>
      <c r="F16" s="1207"/>
      <c r="G16" s="78"/>
      <c r="H16" s="633" t="s">
        <v>126</v>
      </c>
      <c r="I16" s="633"/>
      <c r="N16" s="42"/>
      <c r="O16" s="42"/>
      <c r="P16" s="42"/>
    </row>
    <row r="17" spans="1:16" customFormat="1" ht="15" customHeight="1" thickBot="1">
      <c r="A17" s="999" t="s">
        <v>262</v>
      </c>
      <c r="B17" s="1000"/>
      <c r="C17" s="1000"/>
      <c r="D17" s="1000"/>
      <c r="E17" s="1000"/>
      <c r="F17" s="1001"/>
      <c r="G17" s="78"/>
      <c r="H17" s="634"/>
      <c r="I17" s="633"/>
    </row>
    <row r="18" spans="1:16" customFormat="1" ht="15" customHeight="1">
      <c r="A18" s="1047"/>
      <c r="B18" s="1049"/>
      <c r="C18" s="1157" t="s">
        <v>128</v>
      </c>
      <c r="D18" s="911"/>
      <c r="E18" s="1157" t="s">
        <v>292</v>
      </c>
      <c r="F18" s="911"/>
      <c r="G18" s="60"/>
      <c r="H18" s="633"/>
      <c r="I18" s="634"/>
    </row>
    <row r="19" spans="1:16" customFormat="1" ht="24" customHeight="1" thickBot="1">
      <c r="A19" s="1159"/>
      <c r="B19" s="1160"/>
      <c r="C19" s="1158">
        <v>40999</v>
      </c>
      <c r="D19" s="1154"/>
      <c r="E19" s="1153" t="str">
        <f>'Løntabel gældende fra'!D1</f>
        <v>01/11/25</v>
      </c>
      <c r="F19" s="1154"/>
      <c r="G19" s="60"/>
      <c r="H19" s="634">
        <v>35388</v>
      </c>
      <c r="I19" s="633"/>
    </row>
    <row r="20" spans="1:16" customFormat="1" ht="17.100000000000001" customHeight="1" thickBot="1">
      <c r="A20" s="622" t="s">
        <v>112</v>
      </c>
      <c r="B20" s="407" t="s">
        <v>116</v>
      </c>
      <c r="C20" s="1155" t="s">
        <v>269</v>
      </c>
      <c r="D20" s="1156"/>
      <c r="E20" s="1177" t="s">
        <v>269</v>
      </c>
      <c r="F20" s="1156"/>
      <c r="G20" s="60"/>
      <c r="H20" s="634">
        <v>35388</v>
      </c>
      <c r="I20" s="634">
        <v>26213</v>
      </c>
    </row>
    <row r="21" spans="1:16" customFormat="1" ht="17.100000000000001" customHeight="1">
      <c r="A21" s="626" t="s">
        <v>117</v>
      </c>
      <c r="B21" s="625" t="s">
        <v>118</v>
      </c>
      <c r="C21" s="122">
        <f>C10+H19</f>
        <v>418102</v>
      </c>
      <c r="D21" s="123">
        <f>D10+I20</f>
        <v>478786</v>
      </c>
      <c r="E21" s="119">
        <f>C21+C21*'Løntabel gældende fra'!$D$7%</f>
        <v>522262.07885200001</v>
      </c>
      <c r="F21" s="120">
        <f>D21+D21*'Løntabel gældende fra'!$D$7%</f>
        <v>598064.04103600001</v>
      </c>
      <c r="G21" s="53"/>
      <c r="H21" s="634">
        <v>35388</v>
      </c>
      <c r="I21" s="634">
        <v>26213</v>
      </c>
    </row>
    <row r="22" spans="1:16" customFormat="1" ht="17.100000000000001" customHeight="1">
      <c r="A22" s="394" t="s">
        <v>114</v>
      </c>
      <c r="B22" s="88" t="s">
        <v>118</v>
      </c>
      <c r="C22" s="97">
        <f>C11+H20</f>
        <v>447627</v>
      </c>
      <c r="D22" s="121">
        <f>D11+I21</f>
        <v>518796</v>
      </c>
      <c r="E22" s="94">
        <f>C22+C22*'Løntabel gældende fra'!$D$7%</f>
        <v>559142.52400199999</v>
      </c>
      <c r="F22" s="93">
        <f>D22+D22*'Løntabel gældende fra'!$D$7%</f>
        <v>648041.57229599997</v>
      </c>
      <c r="G22" s="53"/>
      <c r="H22" s="634">
        <v>52426</v>
      </c>
      <c r="I22" s="634">
        <v>26213</v>
      </c>
    </row>
    <row r="23" spans="1:16" s="57" customFormat="1" ht="17.100000000000001" customHeight="1">
      <c r="A23" s="623" t="s">
        <v>115</v>
      </c>
      <c r="B23" s="624" t="s">
        <v>118</v>
      </c>
      <c r="C23" s="122">
        <f>C12+H21</f>
        <v>483233</v>
      </c>
      <c r="D23" s="123">
        <f>D12+I22</f>
        <v>563576</v>
      </c>
      <c r="E23" s="124">
        <f>C23+C23*'Løntabel gældende fra'!$D$7%</f>
        <v>603618.90435800003</v>
      </c>
      <c r="F23" s="125">
        <f>D23+D23*'Løntabel gældende fra'!$D$7%</f>
        <v>703977.43457599997</v>
      </c>
      <c r="G23" s="53"/>
      <c r="H23" s="634">
        <v>52426</v>
      </c>
      <c r="I23" s="634">
        <v>43252</v>
      </c>
    </row>
    <row r="24" spans="1:16" s="57" customFormat="1" ht="17.100000000000001" customHeight="1">
      <c r="A24" s="627" t="s">
        <v>119</v>
      </c>
      <c r="B24" s="629" t="s">
        <v>120</v>
      </c>
      <c r="C24" s="98">
        <f>C10+H22</f>
        <v>435140</v>
      </c>
      <c r="D24" s="93">
        <f>D10+I23</f>
        <v>495825</v>
      </c>
      <c r="E24" s="94">
        <f>C24+C24*'Løntabel gældende fra'!$D$7%</f>
        <v>543544.68764000002</v>
      </c>
      <c r="F24" s="93">
        <f>D24+D24*'Løntabel gældende fra'!$D$7%</f>
        <v>619347.89895000006</v>
      </c>
      <c r="G24" s="65"/>
      <c r="H24" s="634">
        <v>52426</v>
      </c>
      <c r="I24" s="634">
        <v>43252</v>
      </c>
    </row>
    <row r="25" spans="1:16" s="57" customFormat="1" ht="17.100000000000001" customHeight="1">
      <c r="A25" s="627" t="s">
        <v>114</v>
      </c>
      <c r="B25" s="629" t="s">
        <v>120</v>
      </c>
      <c r="C25" s="122">
        <f>C11+H23</f>
        <v>464665</v>
      </c>
      <c r="D25" s="123">
        <f>D11+I24</f>
        <v>535835</v>
      </c>
      <c r="E25" s="126">
        <f>C25+C25*'Løntabel gældende fra'!$D$7%</f>
        <v>580425.13278999995</v>
      </c>
      <c r="F25" s="123">
        <f>D25+D25*'Løntabel gældende fra'!$D$7%</f>
        <v>669325.43021000002</v>
      </c>
      <c r="G25" s="65"/>
      <c r="H25" s="635">
        <v>70776</v>
      </c>
      <c r="I25" s="634">
        <v>43252</v>
      </c>
    </row>
    <row r="26" spans="1:16" s="57" customFormat="1" ht="17.100000000000001" customHeight="1">
      <c r="A26" s="627" t="s">
        <v>115</v>
      </c>
      <c r="B26" s="629" t="s">
        <v>120</v>
      </c>
      <c r="C26" s="98">
        <f>C12+H24</f>
        <v>500271</v>
      </c>
      <c r="D26" s="93">
        <f>D12+I25</f>
        <v>580615</v>
      </c>
      <c r="E26" s="94">
        <f>C26+C26*'Løntabel gældende fra'!$D$7%</f>
        <v>624901.51314599998</v>
      </c>
      <c r="F26" s="93">
        <f>D26+D26*'Løntabel gældende fra'!$D$7%</f>
        <v>725261.29249000002</v>
      </c>
      <c r="G26" s="65"/>
      <c r="H26" s="635">
        <v>70776</v>
      </c>
      <c r="I26" s="635">
        <v>61601</v>
      </c>
    </row>
    <row r="27" spans="1:16" s="57" customFormat="1" ht="17.100000000000001" customHeight="1">
      <c r="A27" s="627" t="s">
        <v>119</v>
      </c>
      <c r="B27" s="629" t="s">
        <v>121</v>
      </c>
      <c r="C27" s="98">
        <f>C10+H25</f>
        <v>453490</v>
      </c>
      <c r="D27" s="93">
        <f>D10+I26</f>
        <v>514174</v>
      </c>
      <c r="E27" s="119">
        <f>C27+C27*'Løntabel gældende fra'!$D$7%</f>
        <v>566466.14974000002</v>
      </c>
      <c r="F27" s="120">
        <f>D27+D27*'Løntabel gældende fra'!$D$7%</f>
        <v>642268.11192399997</v>
      </c>
      <c r="G27" s="65"/>
      <c r="H27" s="635">
        <v>70776</v>
      </c>
      <c r="I27" s="635">
        <v>61601</v>
      </c>
    </row>
    <row r="28" spans="1:16" s="57" customFormat="1" ht="17.100000000000001" customHeight="1">
      <c r="A28" s="627" t="s">
        <v>114</v>
      </c>
      <c r="B28" s="629" t="s">
        <v>121</v>
      </c>
      <c r="C28" s="98">
        <f>C11+H26</f>
        <v>483015</v>
      </c>
      <c r="D28" s="93">
        <f>D11+I27</f>
        <v>554184</v>
      </c>
      <c r="E28" s="94">
        <f>C28+C28*'Løntabel gældende fra'!$D$7%</f>
        <v>603346.59489000007</v>
      </c>
      <c r="F28" s="93">
        <f>D28+D28*'Løntabel gældende fra'!$D$7%</f>
        <v>692245.64318400004</v>
      </c>
      <c r="G28" s="65"/>
      <c r="H28" s="635"/>
      <c r="I28" s="635">
        <v>61601</v>
      </c>
    </row>
    <row r="29" spans="1:16" s="57" customFormat="1" ht="18" customHeight="1" thickBot="1">
      <c r="A29" s="628" t="s">
        <v>115</v>
      </c>
      <c r="B29" s="630" t="s">
        <v>121</v>
      </c>
      <c r="C29" s="99">
        <f>C12+H27</f>
        <v>518621</v>
      </c>
      <c r="D29" s="101">
        <f>D12+I28</f>
        <v>598964</v>
      </c>
      <c r="E29" s="100">
        <f>C29+C29*'Løntabel gældende fra'!$D$7%</f>
        <v>647822.97524599999</v>
      </c>
      <c r="F29" s="101">
        <f>D29+D29*'Løntabel gældende fra'!$D$7%</f>
        <v>748181.50546400005</v>
      </c>
      <c r="G29" s="65"/>
      <c r="H29" s="2"/>
      <c r="I29" s="635"/>
    </row>
    <row r="30" spans="1:16" ht="24" customHeight="1" thickBot="1">
      <c r="A30" s="65"/>
      <c r="B30" s="65"/>
      <c r="C30" s="65"/>
      <c r="D30" s="65"/>
      <c r="E30" s="65"/>
      <c r="F30" s="65"/>
      <c r="G30" s="65"/>
      <c r="N30" s="1184"/>
      <c r="O30" s="1184"/>
      <c r="P30" s="1184"/>
    </row>
    <row r="31" spans="1:16" ht="11.1" customHeight="1">
      <c r="A31" s="1178" t="s">
        <v>346</v>
      </c>
      <c r="B31" s="1179"/>
      <c r="C31" s="1179"/>
      <c r="D31" s="1179"/>
      <c r="E31" s="1179"/>
      <c r="F31" s="1180"/>
      <c r="G31" s="78"/>
      <c r="N31" s="1165"/>
      <c r="O31" s="1165"/>
      <c r="P31" s="1165"/>
    </row>
    <row r="32" spans="1:16" ht="14.1" customHeight="1">
      <c r="A32" s="1181"/>
      <c r="B32" s="1182"/>
      <c r="C32" s="1182"/>
      <c r="D32" s="1182"/>
      <c r="E32" s="1182"/>
      <c r="F32" s="1183"/>
      <c r="G32" s="78"/>
      <c r="H32"/>
      <c r="N32" s="42"/>
      <c r="O32" s="42"/>
      <c r="P32" s="42"/>
    </row>
    <row r="33" spans="1:11" customFormat="1" ht="15" customHeight="1" thickBot="1">
      <c r="A33" s="999" t="s">
        <v>262</v>
      </c>
      <c r="B33" s="1000"/>
      <c r="C33" s="1000"/>
      <c r="D33" s="1000"/>
      <c r="E33" s="1000"/>
      <c r="F33" s="1001"/>
      <c r="G33" s="78"/>
    </row>
    <row r="34" spans="1:11" customFormat="1" ht="15" customHeight="1">
      <c r="A34" s="1047"/>
      <c r="B34" s="1049"/>
      <c r="C34" s="1157" t="s">
        <v>128</v>
      </c>
      <c r="D34" s="911"/>
      <c r="E34" s="1157" t="s">
        <v>292</v>
      </c>
      <c r="F34" s="911"/>
      <c r="G34" s="60"/>
    </row>
    <row r="35" spans="1:11" customFormat="1" ht="24" customHeight="1" thickBot="1">
      <c r="A35" s="1050"/>
      <c r="B35" s="1052"/>
      <c r="C35" s="1158">
        <v>40999</v>
      </c>
      <c r="D35" s="1154"/>
      <c r="E35" s="1153" t="str">
        <f>'Løntabel gældende fra'!D1</f>
        <v>01/11/25</v>
      </c>
      <c r="F35" s="1154"/>
      <c r="G35" s="60"/>
    </row>
    <row r="36" spans="1:11" customFormat="1" ht="24" customHeight="1" thickBot="1">
      <c r="A36" s="1191" t="s">
        <v>112</v>
      </c>
      <c r="B36" s="1192"/>
      <c r="C36" s="1189" t="s">
        <v>220</v>
      </c>
      <c r="D36" s="1190"/>
      <c r="E36" s="1177" t="s">
        <v>220</v>
      </c>
      <c r="F36" s="1156"/>
      <c r="G36" s="60"/>
    </row>
    <row r="37" spans="1:11" customFormat="1" ht="21.95" customHeight="1">
      <c r="A37" s="1199" t="s">
        <v>324</v>
      </c>
      <c r="B37" s="1200"/>
      <c r="C37" s="1203">
        <v>353412</v>
      </c>
      <c r="D37" s="1204"/>
      <c r="E37" s="1203">
        <f>C37+C37*'Løntabel gældende fra'!$D$7%</f>
        <v>441456.11791199999</v>
      </c>
      <c r="F37" s="1204"/>
      <c r="G37" s="53"/>
      <c r="H37" s="65"/>
    </row>
    <row r="38" spans="1:11" s="57" customFormat="1" ht="23.1" customHeight="1" thickBot="1">
      <c r="A38" s="1201" t="s">
        <v>115</v>
      </c>
      <c r="B38" s="1202"/>
      <c r="C38" s="1216">
        <v>396929</v>
      </c>
      <c r="D38" s="1217"/>
      <c r="E38" s="1227">
        <f>C38+C38*'Løntabel gældende fra'!$D$7%</f>
        <v>495814.33405399998</v>
      </c>
      <c r="F38" s="1228"/>
      <c r="G38" s="53"/>
      <c r="H38" s="65"/>
      <c r="I38" s="65"/>
      <c r="J38" s="65"/>
      <c r="K38" s="65"/>
    </row>
    <row r="39" spans="1:11" s="57" customFormat="1" ht="6.95" customHeight="1">
      <c r="A39" s="1229"/>
      <c r="B39" s="1229"/>
      <c r="C39" s="1229"/>
      <c r="D39" s="1229"/>
      <c r="E39" s="1229"/>
      <c r="F39" s="116"/>
      <c r="G39" s="65"/>
      <c r="H39" s="65"/>
      <c r="I39" s="65"/>
      <c r="J39" s="65"/>
      <c r="K39" s="65"/>
    </row>
    <row r="40" spans="1:11" s="57" customFormat="1" ht="20.100000000000001" customHeight="1" thickBot="1">
      <c r="A40" s="583"/>
      <c r="B40" s="584"/>
      <c r="C40" s="583"/>
      <c r="D40" s="585"/>
      <c r="E40" s="585"/>
      <c r="F40" s="585"/>
      <c r="G40" s="65"/>
      <c r="H40" s="65"/>
      <c r="I40" s="65"/>
      <c r="J40" s="65"/>
      <c r="K40" s="65"/>
    </row>
    <row r="41" spans="1:11" s="57" customFormat="1" ht="21" thickBot="1">
      <c r="A41" s="1218" t="s">
        <v>160</v>
      </c>
      <c r="B41" s="1219"/>
      <c r="C41" s="1219"/>
      <c r="D41" s="1219"/>
      <c r="E41" s="1219"/>
      <c r="F41" s="1219"/>
      <c r="G41" s="1220"/>
      <c r="H41" s="65"/>
      <c r="I41" s="65"/>
      <c r="J41" s="65"/>
      <c r="K41" s="65"/>
    </row>
    <row r="42" spans="1:11" s="57" customFormat="1" ht="50.1" customHeight="1">
      <c r="A42" s="947" t="s">
        <v>347</v>
      </c>
      <c r="B42" s="1221" t="s">
        <v>355</v>
      </c>
      <c r="C42" s="1222"/>
      <c r="D42" s="1223"/>
      <c r="E42" s="306" t="s">
        <v>128</v>
      </c>
      <c r="F42" s="581" t="s">
        <v>292</v>
      </c>
      <c r="G42" s="499"/>
      <c r="H42" s="65"/>
      <c r="I42" s="65"/>
      <c r="J42" s="65"/>
      <c r="K42" s="65"/>
    </row>
    <row r="43" spans="1:11" s="57" customFormat="1" ht="21" thickBot="1">
      <c r="A43" s="948"/>
      <c r="B43" s="1224"/>
      <c r="C43" s="1225"/>
      <c r="D43" s="1226"/>
      <c r="E43" s="631">
        <v>40999</v>
      </c>
      <c r="F43" s="632" t="str">
        <f>'Løntabel gældende fra'!$D$1</f>
        <v>01/11/25</v>
      </c>
      <c r="G43" s="500"/>
      <c r="H43" s="65"/>
      <c r="I43" s="65"/>
      <c r="J43" s="65"/>
      <c r="K43" s="65"/>
    </row>
    <row r="44" spans="1:11" s="57" customFormat="1" ht="33.950000000000003" customHeight="1" thickBot="1">
      <c r="A44" s="1062"/>
      <c r="B44" s="1196" t="s">
        <v>354</v>
      </c>
      <c r="C44" s="1197"/>
      <c r="D44" s="1198"/>
      <c r="E44" s="502">
        <v>130000</v>
      </c>
      <c r="F44" s="503">
        <f>E44+E44*'Løntabel gældende fra'!$D$7%</f>
        <v>162386.38</v>
      </c>
      <c r="G44" s="501"/>
      <c r="H44" s="65"/>
      <c r="I44" s="65"/>
      <c r="J44" s="65"/>
      <c r="K44" s="65"/>
    </row>
    <row r="45" spans="1:11" s="57" customFormat="1" ht="21" thickBot="1">
      <c r="A45" s="200" t="s">
        <v>348</v>
      </c>
      <c r="B45" s="1193" t="s">
        <v>325</v>
      </c>
      <c r="C45" s="1194"/>
      <c r="D45" s="1194"/>
      <c r="E45" s="1194"/>
      <c r="F45" s="1194"/>
      <c r="G45" s="1195"/>
      <c r="H45" s="75"/>
      <c r="I45" s="65"/>
      <c r="J45" s="65"/>
      <c r="K45" s="65"/>
    </row>
    <row r="46" spans="1:11" s="57" customFormat="1" ht="21" thickBot="1">
      <c r="A46" s="1152"/>
      <c r="B46" s="1152"/>
      <c r="C46" s="1152"/>
      <c r="D46" s="1152"/>
      <c r="E46" s="1152"/>
      <c r="F46" s="1152"/>
      <c r="G46" s="809"/>
      <c r="H46" s="75"/>
      <c r="I46" s="65"/>
      <c r="J46" s="65"/>
      <c r="K46" s="65"/>
    </row>
    <row r="47" spans="1:11" ht="21" customHeight="1">
      <c r="A47" s="996" t="s">
        <v>453</v>
      </c>
      <c r="B47" s="997"/>
      <c r="C47" s="997"/>
      <c r="D47" s="997"/>
      <c r="E47" s="997"/>
      <c r="F47" s="998"/>
      <c r="G47" s="810"/>
    </row>
    <row r="48" spans="1:11" ht="21" customHeight="1">
      <c r="A48" s="1146" t="s">
        <v>438</v>
      </c>
      <c r="B48" s="1147"/>
      <c r="C48" s="1147"/>
      <c r="D48" s="1147"/>
      <c r="E48" s="1147"/>
      <c r="F48" s="1148"/>
      <c r="G48" s="811"/>
    </row>
    <row r="49" spans="1:9" s="57" customFormat="1" ht="21" customHeight="1" thickBot="1">
      <c r="A49" s="1149" t="s">
        <v>441</v>
      </c>
      <c r="B49" s="1150"/>
      <c r="C49" s="1150"/>
      <c r="D49" s="1150"/>
      <c r="E49" s="1150"/>
      <c r="F49" s="1151"/>
      <c r="G49" s="812"/>
    </row>
    <row r="50" spans="1:9" s="57" customFormat="1" ht="26.1" customHeight="1" thickBot="1">
      <c r="B50" s="71"/>
      <c r="D50" s="115"/>
      <c r="E50" s="115"/>
      <c r="F50" s="115"/>
      <c r="G50" s="65"/>
      <c r="H50" s="76"/>
      <c r="I50" s="2"/>
    </row>
    <row r="51" spans="1:9" s="57" customFormat="1" ht="32.1" customHeight="1">
      <c r="A51" s="1178" t="s">
        <v>364</v>
      </c>
      <c r="B51" s="1179"/>
      <c r="C51" s="1179"/>
      <c r="D51" s="1179"/>
      <c r="E51" s="1179"/>
      <c r="F51" s="1179"/>
      <c r="G51" s="1180"/>
      <c r="H51" s="76"/>
      <c r="I51" s="2"/>
    </row>
    <row r="52" spans="1:9" s="57" customFormat="1" ht="30" customHeight="1" thickBot="1">
      <c r="A52" s="1143" t="str">
        <f>'Løntabel gældende fra'!$D$1</f>
        <v>01/11/25</v>
      </c>
      <c r="B52" s="1144"/>
      <c r="C52" s="1144"/>
      <c r="D52" s="1144"/>
      <c r="E52" s="1144"/>
      <c r="F52" s="1144"/>
      <c r="G52" s="1231"/>
      <c r="H52" s="76"/>
    </row>
    <row r="53" spans="1:9" s="57" customFormat="1" ht="47.1" customHeight="1">
      <c r="A53" s="1185" t="s">
        <v>85</v>
      </c>
      <c r="B53" s="1186"/>
      <c r="C53" s="1186"/>
      <c r="D53" s="1186"/>
      <c r="E53" s="1186"/>
      <c r="F53" s="1187"/>
      <c r="G53" s="768"/>
      <c r="H53" s="76"/>
    </row>
    <row r="54" spans="1:9" s="57" customFormat="1" ht="14.1" customHeight="1">
      <c r="A54" s="1235" t="s">
        <v>366</v>
      </c>
      <c r="B54" s="1236"/>
      <c r="C54" s="1236"/>
      <c r="D54" s="1236"/>
      <c r="E54" s="1236"/>
      <c r="F54" s="1237"/>
      <c r="G54" s="769"/>
      <c r="H54" s="76"/>
    </row>
    <row r="55" spans="1:9" s="57" customFormat="1" ht="14.1" customHeight="1">
      <c r="A55" s="1188" t="s">
        <v>365</v>
      </c>
      <c r="B55" s="1188"/>
      <c r="C55" s="1188"/>
      <c r="D55" s="1188"/>
      <c r="E55" s="1188"/>
      <c r="F55" s="1188"/>
      <c r="G55" s="769"/>
      <c r="H55" s="76"/>
    </row>
    <row r="56" spans="1:9" s="57" customFormat="1" ht="14.1" customHeight="1">
      <c r="A56" s="1232" t="s">
        <v>122</v>
      </c>
      <c r="B56" s="1232"/>
      <c r="C56" s="1232"/>
      <c r="D56" s="1232"/>
      <c r="E56" s="1232"/>
      <c r="F56" s="1232"/>
      <c r="G56" s="1232"/>
      <c r="H56" s="76"/>
    </row>
    <row r="57" spans="1:9" s="57" customFormat="1" ht="14.1" customHeight="1">
      <c r="A57" s="80"/>
      <c r="B57" s="80"/>
      <c r="C57" s="80"/>
      <c r="D57" s="80"/>
      <c r="E57" s="80"/>
      <c r="F57" s="80"/>
      <c r="G57" s="80"/>
      <c r="H57" s="76"/>
    </row>
    <row r="58" spans="1:9" s="57" customFormat="1" ht="14.1" customHeight="1">
      <c r="A58" s="1188" t="s">
        <v>123</v>
      </c>
      <c r="B58" s="1233" t="s">
        <v>446</v>
      </c>
      <c r="C58" s="1233"/>
      <c r="D58" s="1233"/>
      <c r="E58" s="1233"/>
      <c r="F58" s="1233"/>
      <c r="G58" s="1233"/>
      <c r="H58" s="76"/>
    </row>
    <row r="59" spans="1:9" s="57" customFormat="1" ht="14.1" customHeight="1">
      <c r="A59" s="1188"/>
      <c r="B59" s="79" t="s">
        <v>447</v>
      </c>
      <c r="C59" s="486"/>
      <c r="D59" s="486"/>
      <c r="E59" s="486"/>
      <c r="F59" s="486"/>
      <c r="G59" s="486"/>
      <c r="H59" s="76"/>
    </row>
    <row r="60" spans="1:9" s="57" customFormat="1" ht="14.1" customHeight="1">
      <c r="A60" s="1188"/>
      <c r="B60" s="1233" t="s">
        <v>448</v>
      </c>
      <c r="C60" s="1233"/>
      <c r="D60" s="1233"/>
      <c r="E60" s="1233"/>
      <c r="F60" s="1233"/>
      <c r="G60" s="1233"/>
      <c r="H60" s="76"/>
    </row>
    <row r="61" spans="1:9" s="57" customFormat="1" ht="14.1" customHeight="1">
      <c r="A61" s="81"/>
      <c r="B61" s="1233"/>
      <c r="C61" s="1233"/>
      <c r="D61" s="1233"/>
      <c r="E61" s="1233"/>
      <c r="F61" s="1233"/>
      <c r="G61" s="1233"/>
      <c r="H61" s="76"/>
    </row>
    <row r="62" spans="1:9" s="57" customFormat="1" ht="14.1" customHeight="1">
      <c r="A62" s="81"/>
      <c r="B62" s="486"/>
      <c r="C62" s="486"/>
      <c r="D62" s="486"/>
      <c r="E62" s="486"/>
      <c r="F62" s="486"/>
      <c r="G62" s="486"/>
      <c r="H62" s="76"/>
    </row>
    <row r="63" spans="1:9" s="57" customFormat="1" ht="17.100000000000001" customHeight="1">
      <c r="A63" s="1188" t="s">
        <v>124</v>
      </c>
      <c r="B63" s="1233" t="s">
        <v>449</v>
      </c>
      <c r="C63" s="1233"/>
      <c r="D63" s="1233"/>
      <c r="E63" s="1233"/>
      <c r="F63" s="1233"/>
      <c r="G63" s="1233"/>
      <c r="H63" s="76"/>
    </row>
    <row r="64" spans="1:9" ht="18" customHeight="1">
      <c r="A64" s="1188"/>
      <c r="B64" s="79" t="s">
        <v>450</v>
      </c>
      <c r="C64" s="486"/>
      <c r="D64" s="486"/>
      <c r="E64" s="486"/>
      <c r="F64" s="486"/>
      <c r="G64" s="486"/>
      <c r="H64" s="76"/>
      <c r="I64" s="57"/>
    </row>
    <row r="65" spans="1:9" ht="18" customHeight="1">
      <c r="A65" s="1188"/>
      <c r="B65" s="1233" t="s">
        <v>451</v>
      </c>
      <c r="C65" s="1233"/>
      <c r="D65" s="1233"/>
      <c r="E65" s="1233"/>
      <c r="F65" s="1233"/>
      <c r="G65" s="1233"/>
      <c r="H65" s="76"/>
      <c r="I65" s="57"/>
    </row>
    <row r="66" spans="1:9" ht="18.95" customHeight="1">
      <c r="A66" s="81"/>
      <c r="B66" s="1233"/>
      <c r="C66" s="1233"/>
      <c r="D66" s="1233"/>
      <c r="E66" s="1233"/>
      <c r="F66" s="1233"/>
      <c r="G66" s="1233"/>
      <c r="I66" s="57"/>
    </row>
    <row r="67" spans="1:9" ht="14.1" customHeight="1" thickBot="1">
      <c r="A67" s="65"/>
      <c r="B67" s="65"/>
      <c r="C67" s="65"/>
      <c r="D67" s="65"/>
      <c r="E67" s="65"/>
      <c r="F67" s="65"/>
      <c r="G67" s="65"/>
    </row>
    <row r="68" spans="1:9">
      <c r="A68" s="947" t="s">
        <v>57</v>
      </c>
      <c r="B68" s="987" t="s">
        <v>23</v>
      </c>
      <c r="C68" s="1024"/>
      <c r="D68" s="987" t="s">
        <v>24</v>
      </c>
      <c r="E68" s="1024"/>
      <c r="F68" s="571" t="s">
        <v>295</v>
      </c>
      <c r="G68" s="947" t="s">
        <v>92</v>
      </c>
    </row>
    <row r="69" spans="1:9" ht="15.75" thickBot="1">
      <c r="A69" s="948"/>
      <c r="B69" s="574">
        <v>40999</v>
      </c>
      <c r="C69" s="575"/>
      <c r="D69" s="937" t="str">
        <f>'Løntabel gældende fra'!$D$1</f>
        <v>01/11/25</v>
      </c>
      <c r="E69" s="1234"/>
      <c r="F69" s="572" t="str">
        <f>'Løntabel gældende fra'!$D$1</f>
        <v>01/11/25</v>
      </c>
      <c r="G69" s="948"/>
      <c r="H69" s="45"/>
    </row>
    <row r="70" spans="1:9" ht="15.75" thickBot="1">
      <c r="A70" s="948"/>
      <c r="B70" s="576" t="s">
        <v>83</v>
      </c>
      <c r="C70" s="573" t="s">
        <v>158</v>
      </c>
      <c r="D70" s="300" t="s">
        <v>83</v>
      </c>
      <c r="E70" s="384" t="s">
        <v>158</v>
      </c>
      <c r="F70" s="384" t="s">
        <v>158</v>
      </c>
      <c r="G70" s="305">
        <v>0.15</v>
      </c>
    </row>
    <row r="71" spans="1:9">
      <c r="A71" s="333">
        <v>31</v>
      </c>
      <c r="B71" s="398">
        <f>+'Statens skalatrin'!N96</f>
        <v>290512.64000000001</v>
      </c>
      <c r="C71" s="398">
        <f>ROUND(B71/12,2)</f>
        <v>24209.39</v>
      </c>
      <c r="D71" s="399">
        <f>ROUND(B71*(1+'Løntabel gældende fra'!$D$7/100),0)</f>
        <v>362887</v>
      </c>
      <c r="E71" s="741">
        <f>ROUND(D71/12,2)</f>
        <v>30240.58</v>
      </c>
      <c r="F71" s="742">
        <f>ROUND(E71*15%,2)</f>
        <v>4536.09</v>
      </c>
      <c r="G71" s="400">
        <f>F71*$G$70</f>
        <v>680.4135</v>
      </c>
    </row>
    <row r="72" spans="1:9">
      <c r="A72" s="394">
        <v>32</v>
      </c>
      <c r="B72" s="176">
        <f>+'Statens skalatrin'!N99</f>
        <v>296125.21000000002</v>
      </c>
      <c r="C72" s="579">
        <f t="shared" ref="C72:C90" si="0">ROUND(B72/12,2)</f>
        <v>24677.1</v>
      </c>
      <c r="D72" s="577">
        <f>ROUND(B72*(1+'Løntabel gældende fra'!$D$7/100),0)</f>
        <v>369898</v>
      </c>
      <c r="E72" s="743">
        <f t="shared" ref="E72:E90" si="1">ROUND(D72/12,2)</f>
        <v>30824.83</v>
      </c>
      <c r="F72" s="734">
        <f t="shared" ref="F72:F90" si="2">ROUND(E72*15%,2)</f>
        <v>4623.72</v>
      </c>
      <c r="G72" s="175">
        <f t="shared" ref="G72:G90" si="3">F72*$G$70</f>
        <v>693.55799999999999</v>
      </c>
    </row>
    <row r="73" spans="1:9">
      <c r="A73" s="394">
        <v>33</v>
      </c>
      <c r="B73" s="176">
        <f>+'Statens skalatrin'!N102</f>
        <v>301881.8</v>
      </c>
      <c r="C73" s="579">
        <f t="shared" si="0"/>
        <v>25156.82</v>
      </c>
      <c r="D73" s="577">
        <f>ROUND(B73*(1+'Løntabel gældende fra'!$D$7/100),0)</f>
        <v>377088</v>
      </c>
      <c r="E73" s="743">
        <f t="shared" si="1"/>
        <v>31424</v>
      </c>
      <c r="F73" s="734">
        <f t="shared" si="2"/>
        <v>4713.6000000000004</v>
      </c>
      <c r="G73" s="175">
        <f t="shared" si="3"/>
        <v>707.04000000000008</v>
      </c>
    </row>
    <row r="74" spans="1:9">
      <c r="A74" s="394">
        <v>34</v>
      </c>
      <c r="B74" s="176">
        <f>+'Statens skalatrin'!N105</f>
        <v>307790.62</v>
      </c>
      <c r="C74" s="579">
        <f t="shared" si="0"/>
        <v>25649.22</v>
      </c>
      <c r="D74" s="577">
        <f>ROUND(B74*(1+'Løntabel gældende fra'!$D$7/100),0)</f>
        <v>384469</v>
      </c>
      <c r="E74" s="743">
        <f t="shared" si="1"/>
        <v>32039.08</v>
      </c>
      <c r="F74" s="734">
        <f t="shared" si="2"/>
        <v>4805.8599999999997</v>
      </c>
      <c r="G74" s="175">
        <f t="shared" si="3"/>
        <v>720.87899999999991</v>
      </c>
    </row>
    <row r="75" spans="1:9">
      <c r="A75" s="394">
        <v>35</v>
      </c>
      <c r="B75" s="176">
        <f>+'Statens skalatrin'!N108</f>
        <v>313854.56</v>
      </c>
      <c r="C75" s="579">
        <f t="shared" si="0"/>
        <v>26154.55</v>
      </c>
      <c r="D75" s="577">
        <f>ROUND(B75*(1+'Løntabel gældende fra'!$D$7/100),0)</f>
        <v>392044</v>
      </c>
      <c r="E75" s="743">
        <f t="shared" si="1"/>
        <v>32670.33</v>
      </c>
      <c r="F75" s="734">
        <f t="shared" si="2"/>
        <v>4900.55</v>
      </c>
      <c r="G75" s="175">
        <f t="shared" si="3"/>
        <v>735.08249999999998</v>
      </c>
    </row>
    <row r="76" spans="1:9">
      <c r="A76" s="394">
        <v>36</v>
      </c>
      <c r="B76" s="176">
        <f>+'Statens skalatrin'!N111</f>
        <v>320074.68</v>
      </c>
      <c r="C76" s="579">
        <f t="shared" si="0"/>
        <v>26672.89</v>
      </c>
      <c r="D76" s="577">
        <f>ROUND(B76*(1+'Løntabel gældende fra'!$D$7/100),0)</f>
        <v>399814</v>
      </c>
      <c r="E76" s="743">
        <f t="shared" si="1"/>
        <v>33317.83</v>
      </c>
      <c r="F76" s="734">
        <f t="shared" si="2"/>
        <v>4997.67</v>
      </c>
      <c r="G76" s="175">
        <f t="shared" si="3"/>
        <v>749.65049999999997</v>
      </c>
    </row>
    <row r="77" spans="1:9">
      <c r="A77" s="394">
        <v>37</v>
      </c>
      <c r="B77" s="176">
        <f>+'Statens skalatrin'!N114</f>
        <v>326457.34000000003</v>
      </c>
      <c r="C77" s="579">
        <f t="shared" si="0"/>
        <v>27204.78</v>
      </c>
      <c r="D77" s="577">
        <f>ROUND(B77*(1+'Løntabel gældende fra'!$D$7/100),0)</f>
        <v>407786</v>
      </c>
      <c r="E77" s="743">
        <f t="shared" si="1"/>
        <v>33982.17</v>
      </c>
      <c r="F77" s="734">
        <f t="shared" si="2"/>
        <v>5097.33</v>
      </c>
      <c r="G77" s="175">
        <f t="shared" si="3"/>
        <v>764.59949999999992</v>
      </c>
    </row>
    <row r="78" spans="1:9">
      <c r="A78" s="394">
        <v>38</v>
      </c>
      <c r="B78" s="176">
        <f>+'Statens skalatrin'!N117</f>
        <v>333128.88</v>
      </c>
      <c r="C78" s="579">
        <f t="shared" si="0"/>
        <v>27760.74</v>
      </c>
      <c r="D78" s="577">
        <f>ROUND(B78*(1+'Løntabel gældende fra'!$D$7/100),0)</f>
        <v>416120</v>
      </c>
      <c r="E78" s="743">
        <f t="shared" si="1"/>
        <v>34676.67</v>
      </c>
      <c r="F78" s="734">
        <f t="shared" si="2"/>
        <v>5201.5</v>
      </c>
      <c r="G78" s="175">
        <f t="shared" si="3"/>
        <v>780.22500000000002</v>
      </c>
    </row>
    <row r="79" spans="1:9">
      <c r="A79" s="394">
        <v>39</v>
      </c>
      <c r="B79" s="176">
        <f>+'Statens skalatrin'!N120</f>
        <v>339989.41</v>
      </c>
      <c r="C79" s="579">
        <f t="shared" si="0"/>
        <v>28332.45</v>
      </c>
      <c r="D79" s="577">
        <f>ROUND(B79*(1+'Løntabel gældende fra'!$D$7/100),0)</f>
        <v>424690</v>
      </c>
      <c r="E79" s="743">
        <f t="shared" si="1"/>
        <v>35390.83</v>
      </c>
      <c r="F79" s="734">
        <f t="shared" si="2"/>
        <v>5308.62</v>
      </c>
      <c r="G79" s="175">
        <f t="shared" si="3"/>
        <v>796.29300000000001</v>
      </c>
    </row>
    <row r="80" spans="1:9">
      <c r="A80" s="394">
        <v>40</v>
      </c>
      <c r="B80" s="176">
        <f>+'Statens skalatrin'!N123</f>
        <v>347027.46</v>
      </c>
      <c r="C80" s="579">
        <f t="shared" si="0"/>
        <v>28918.959999999999</v>
      </c>
      <c r="D80" s="577">
        <f>ROUND(B80*(1+'Løntabel gældende fra'!$D$7/100),0)</f>
        <v>433481</v>
      </c>
      <c r="E80" s="743">
        <f t="shared" si="1"/>
        <v>36123.42</v>
      </c>
      <c r="F80" s="734">
        <f t="shared" si="2"/>
        <v>5418.51</v>
      </c>
      <c r="G80" s="175">
        <f t="shared" si="3"/>
        <v>812.77650000000006</v>
      </c>
    </row>
    <row r="81" spans="1:9">
      <c r="A81" s="394">
        <v>41</v>
      </c>
      <c r="B81" s="176">
        <f>+'Statens skalatrin'!N126</f>
        <v>354249.23</v>
      </c>
      <c r="C81" s="579">
        <f t="shared" si="0"/>
        <v>29520.77</v>
      </c>
      <c r="D81" s="577">
        <f>ROUND(B81*(1+'Løntabel gældende fra'!$D$7/100),0)</f>
        <v>442502</v>
      </c>
      <c r="E81" s="743">
        <f t="shared" si="1"/>
        <v>36875.17</v>
      </c>
      <c r="F81" s="734">
        <f t="shared" si="2"/>
        <v>5531.28</v>
      </c>
      <c r="G81" s="175">
        <f t="shared" si="3"/>
        <v>829.69199999999989</v>
      </c>
    </row>
    <row r="82" spans="1:9" s="57" customFormat="1">
      <c r="A82" s="394">
        <v>42</v>
      </c>
      <c r="B82" s="176">
        <f>+'Statens skalatrin'!N129</f>
        <v>361659.2</v>
      </c>
      <c r="C82" s="579">
        <f t="shared" si="0"/>
        <v>30138.27</v>
      </c>
      <c r="D82" s="577">
        <f>ROUND(B82*(1+'Løntabel gældende fra'!$D$7/100),0)</f>
        <v>451758</v>
      </c>
      <c r="E82" s="743">
        <f t="shared" si="1"/>
        <v>37646.5</v>
      </c>
      <c r="F82" s="734">
        <f t="shared" si="2"/>
        <v>5646.98</v>
      </c>
      <c r="G82" s="175">
        <f t="shared" si="3"/>
        <v>847.04699999999991</v>
      </c>
      <c r="H82" s="2"/>
      <c r="I82" s="2"/>
    </row>
    <row r="83" spans="1:9" s="57" customFormat="1">
      <c r="A83" s="394">
        <v>43</v>
      </c>
      <c r="B83" s="176">
        <f>+'Statens skalatrin'!N132</f>
        <v>369688.53</v>
      </c>
      <c r="C83" s="579">
        <f t="shared" si="0"/>
        <v>30807.38</v>
      </c>
      <c r="D83" s="577">
        <f>ROUND(B83*(1+'Løntabel gældende fra'!$D$7/100),0)</f>
        <v>461788</v>
      </c>
      <c r="E83" s="743">
        <f t="shared" si="1"/>
        <v>38482.33</v>
      </c>
      <c r="F83" s="734">
        <f t="shared" si="2"/>
        <v>5772.35</v>
      </c>
      <c r="G83" s="175">
        <f t="shared" si="3"/>
        <v>865.85250000000008</v>
      </c>
      <c r="H83" s="2"/>
      <c r="I83" s="2"/>
    </row>
    <row r="84" spans="1:9" s="57" customFormat="1">
      <c r="A84" s="394">
        <v>44</v>
      </c>
      <c r="B84" s="176">
        <f>+'Statens skalatrin'!N135</f>
        <v>377937.3</v>
      </c>
      <c r="C84" s="579">
        <f t="shared" si="0"/>
        <v>31494.78</v>
      </c>
      <c r="D84" s="577">
        <f>ROUND(B84*(1+'Løntabel gældende fra'!$D$7/100),0)</f>
        <v>472091</v>
      </c>
      <c r="E84" s="743">
        <f t="shared" si="1"/>
        <v>39340.92</v>
      </c>
      <c r="F84" s="734">
        <f t="shared" si="2"/>
        <v>5901.14</v>
      </c>
      <c r="G84" s="175">
        <f t="shared" si="3"/>
        <v>885.17100000000005</v>
      </c>
      <c r="I84" s="2"/>
    </row>
    <row r="85" spans="1:9">
      <c r="A85" s="394">
        <v>45</v>
      </c>
      <c r="B85" s="176">
        <f>+'Statens skalatrin'!N138</f>
        <v>386414.29</v>
      </c>
      <c r="C85" s="579">
        <f t="shared" si="0"/>
        <v>32201.19</v>
      </c>
      <c r="D85" s="577">
        <f>ROUND(B85*(1+'Løntabel gældende fra'!$D$7/100),0)</f>
        <v>482680</v>
      </c>
      <c r="E85" s="743">
        <f t="shared" si="1"/>
        <v>40223.33</v>
      </c>
      <c r="F85" s="734">
        <f t="shared" si="2"/>
        <v>6033.5</v>
      </c>
      <c r="G85" s="175">
        <f t="shared" si="3"/>
        <v>905.02499999999998</v>
      </c>
      <c r="H85" s="57"/>
      <c r="I85" s="57"/>
    </row>
    <row r="86" spans="1:9" ht="15" customHeight="1">
      <c r="A86" s="394">
        <v>46</v>
      </c>
      <c r="B86" s="176">
        <f>+'Statens skalatrin'!N141</f>
        <v>395124.74</v>
      </c>
      <c r="C86" s="579">
        <f t="shared" si="0"/>
        <v>32927.06</v>
      </c>
      <c r="D86" s="577">
        <f>ROUND(B86*(1+'Løntabel gældende fra'!$D$7/100),0)</f>
        <v>493561</v>
      </c>
      <c r="E86" s="743">
        <f t="shared" si="1"/>
        <v>41130.080000000002</v>
      </c>
      <c r="F86" s="734">
        <f t="shared" si="2"/>
        <v>6169.51</v>
      </c>
      <c r="G86" s="175">
        <f t="shared" si="3"/>
        <v>925.42650000000003</v>
      </c>
      <c r="H86" s="57"/>
      <c r="I86" s="57"/>
    </row>
    <row r="87" spans="1:9" ht="15.95" customHeight="1">
      <c r="A87" s="394">
        <v>47</v>
      </c>
      <c r="B87" s="176">
        <f>+'Statens skalatrin'!N144</f>
        <v>413268.87</v>
      </c>
      <c r="C87" s="579">
        <f t="shared" si="0"/>
        <v>34439.07</v>
      </c>
      <c r="D87" s="577">
        <f>ROUND(B87*(1+'Løntabel gældende fra'!$D$7/100),0)</f>
        <v>516225</v>
      </c>
      <c r="E87" s="743">
        <f t="shared" si="1"/>
        <v>43018.75</v>
      </c>
      <c r="F87" s="734">
        <f t="shared" si="2"/>
        <v>6452.81</v>
      </c>
      <c r="G87" s="175">
        <f t="shared" si="3"/>
        <v>967.92150000000004</v>
      </c>
      <c r="I87" s="57"/>
    </row>
    <row r="88" spans="1:9" s="57" customFormat="1" ht="18" customHeight="1">
      <c r="A88" s="394">
        <v>48</v>
      </c>
      <c r="B88" s="579">
        <f>+'Statens skalatrin'!N147</f>
        <v>441025.75</v>
      </c>
      <c r="C88" s="579">
        <f t="shared" si="0"/>
        <v>36752.15</v>
      </c>
      <c r="D88" s="577">
        <f>ROUND(B88*(1+'Løntabel gældende fra'!$D$7/100),0)</f>
        <v>550897</v>
      </c>
      <c r="E88" s="743">
        <f t="shared" si="1"/>
        <v>45908.08</v>
      </c>
      <c r="F88" s="734">
        <f t="shared" si="2"/>
        <v>6886.21</v>
      </c>
      <c r="G88" s="175">
        <f t="shared" si="3"/>
        <v>1032.9314999999999</v>
      </c>
      <c r="H88" s="2"/>
      <c r="I88" s="2"/>
    </row>
    <row r="89" spans="1:9" s="57" customFormat="1" ht="15" customHeight="1">
      <c r="A89" s="394">
        <v>49</v>
      </c>
      <c r="B89" s="176">
        <f>+'Statens skalatrin'!N150</f>
        <v>471780.9</v>
      </c>
      <c r="C89" s="579">
        <f t="shared" si="0"/>
        <v>39315.08</v>
      </c>
      <c r="D89" s="577">
        <f>ROUND(B89*(1+'Løntabel gældende fra'!$D$7/100),0)</f>
        <v>589314</v>
      </c>
      <c r="E89" s="743">
        <f t="shared" si="1"/>
        <v>49109.5</v>
      </c>
      <c r="F89" s="734">
        <f t="shared" si="2"/>
        <v>7366.43</v>
      </c>
      <c r="G89" s="175">
        <f t="shared" si="3"/>
        <v>1104.9645</v>
      </c>
      <c r="H89" s="2"/>
      <c r="I89" s="2"/>
    </row>
    <row r="90" spans="1:9" ht="15.75" thickBot="1">
      <c r="A90" s="335">
        <v>50</v>
      </c>
      <c r="B90" s="159">
        <f>+'Statens skalatrin'!N153</f>
        <v>521094.47</v>
      </c>
      <c r="C90" s="580">
        <f t="shared" si="0"/>
        <v>43424.54</v>
      </c>
      <c r="D90" s="578">
        <f>ROUND(B90*(1+'Løntabel gældende fra'!$D$7/100),0)</f>
        <v>650913</v>
      </c>
      <c r="E90" s="744">
        <f t="shared" si="1"/>
        <v>54242.75</v>
      </c>
      <c r="F90" s="735">
        <f t="shared" si="2"/>
        <v>8136.41</v>
      </c>
      <c r="G90" s="330">
        <f t="shared" si="3"/>
        <v>1220.4614999999999</v>
      </c>
      <c r="H90" s="57"/>
    </row>
    <row r="91" spans="1:9">
      <c r="A91" s="1230" t="s">
        <v>209</v>
      </c>
      <c r="B91" s="1230"/>
      <c r="C91" s="1230"/>
      <c r="D91" s="1230"/>
      <c r="E91" s="1230"/>
      <c r="F91" s="1230"/>
      <c r="G91" s="1230"/>
      <c r="H91" s="57"/>
      <c r="I91" s="57"/>
    </row>
    <row r="92" spans="1:9">
      <c r="A92" s="56"/>
      <c r="B92" s="56"/>
      <c r="C92" s="56"/>
      <c r="D92" s="56"/>
      <c r="E92" s="56"/>
      <c r="F92" s="56"/>
      <c r="G92" s="56"/>
      <c r="I92" s="57"/>
    </row>
    <row r="93" spans="1:9">
      <c r="A93" s="1176"/>
      <c r="B93" s="1176"/>
      <c r="C93" s="1176"/>
      <c r="D93" s="1176"/>
      <c r="E93" s="1176"/>
      <c r="F93" s="1176"/>
      <c r="G93" s="1176"/>
    </row>
    <row r="94" spans="1:9">
      <c r="A94" s="7"/>
      <c r="B94" s="7"/>
      <c r="C94" s="7"/>
      <c r="D94" s="7"/>
      <c r="E94" s="7"/>
      <c r="F94" s="7"/>
      <c r="G94" s="7"/>
    </row>
    <row r="95" spans="1:9">
      <c r="A95" s="7"/>
      <c r="B95" s="7"/>
      <c r="C95" s="7"/>
      <c r="D95" s="7"/>
      <c r="E95" s="7"/>
      <c r="F95" s="7"/>
      <c r="G95" s="7"/>
    </row>
    <row r="96" spans="1:9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7"/>
      <c r="B101" s="7"/>
      <c r="C101" s="7"/>
      <c r="D101" s="7"/>
      <c r="E101" s="7"/>
      <c r="F101" s="7"/>
      <c r="G101" s="7"/>
    </row>
    <row r="102" spans="1:7">
      <c r="A102" s="7"/>
      <c r="B102" s="7"/>
      <c r="C102" s="7"/>
      <c r="D102" s="7"/>
      <c r="E102" s="7"/>
      <c r="F102" s="7"/>
      <c r="G102" s="7"/>
    </row>
    <row r="103" spans="1:7">
      <c r="A103" s="7"/>
      <c r="B103" s="7"/>
      <c r="C103" s="7"/>
      <c r="D103" s="7"/>
      <c r="E103" s="7"/>
      <c r="F103" s="7"/>
      <c r="G103" s="7"/>
    </row>
    <row r="104" spans="1:7">
      <c r="A104" s="7"/>
      <c r="B104" s="7"/>
      <c r="C104" s="7"/>
      <c r="D104" s="7"/>
      <c r="E104" s="7"/>
      <c r="F104" s="7"/>
      <c r="G104" s="7"/>
    </row>
    <row r="105" spans="1:7">
      <c r="A105" s="7"/>
      <c r="B105" s="7"/>
      <c r="C105" s="7"/>
      <c r="D105" s="7"/>
      <c r="E105" s="7"/>
      <c r="F105" s="7"/>
      <c r="G105" s="7"/>
    </row>
    <row r="106" spans="1:7">
      <c r="A106" s="7"/>
      <c r="B106" s="7"/>
      <c r="C106" s="7"/>
      <c r="D106" s="7"/>
      <c r="E106" s="7"/>
      <c r="F106" s="7"/>
      <c r="G106" s="7"/>
    </row>
    <row r="107" spans="1:7">
      <c r="A107" s="7"/>
      <c r="B107" s="7"/>
      <c r="C107" s="7"/>
      <c r="D107" s="7"/>
      <c r="E107" s="7"/>
      <c r="F107" s="7"/>
      <c r="G107" s="7"/>
    </row>
    <row r="108" spans="1:7">
      <c r="A108" s="7"/>
      <c r="B108" s="7"/>
      <c r="C108" s="7"/>
      <c r="D108" s="7"/>
      <c r="E108" s="7"/>
      <c r="F108" s="7"/>
      <c r="G108" s="7"/>
    </row>
    <row r="109" spans="1:7">
      <c r="A109" s="7"/>
      <c r="B109" s="7"/>
      <c r="C109" s="7"/>
      <c r="D109" s="7"/>
      <c r="E109" s="7"/>
      <c r="F109" s="7"/>
      <c r="G109" s="7"/>
    </row>
    <row r="110" spans="1:7">
      <c r="A110" s="7"/>
      <c r="B110" s="7"/>
      <c r="C110" s="7"/>
      <c r="D110" s="7"/>
      <c r="E110" s="7"/>
      <c r="F110" s="7"/>
      <c r="G110" s="7"/>
    </row>
    <row r="111" spans="1:7">
      <c r="A111" s="7"/>
      <c r="B111" s="7"/>
      <c r="C111" s="7"/>
      <c r="D111" s="7"/>
      <c r="E111" s="7"/>
      <c r="F111" s="7"/>
      <c r="G111" s="7"/>
    </row>
    <row r="112" spans="1:7">
      <c r="A112" s="7"/>
      <c r="B112" s="7"/>
      <c r="C112" s="7"/>
      <c r="D112" s="7"/>
      <c r="E112" s="7"/>
      <c r="F112" s="7"/>
      <c r="G112" s="7"/>
    </row>
    <row r="113" spans="1:7">
      <c r="A113" s="7"/>
      <c r="B113" s="7"/>
      <c r="C113" s="7"/>
      <c r="D113" s="7"/>
      <c r="E113" s="7"/>
      <c r="F113" s="7"/>
      <c r="G113" s="7"/>
    </row>
    <row r="114" spans="1:7">
      <c r="A114" s="7"/>
      <c r="B114" s="7"/>
      <c r="C114" s="7"/>
      <c r="D114" s="7"/>
      <c r="E114" s="7"/>
      <c r="F114" s="7"/>
      <c r="G114" s="7"/>
    </row>
    <row r="115" spans="1:7">
      <c r="A115" s="7"/>
      <c r="B115" s="7"/>
      <c r="C115" s="7"/>
      <c r="D115" s="7"/>
      <c r="E115" s="7"/>
      <c r="F115" s="7"/>
      <c r="G115" s="7"/>
    </row>
    <row r="116" spans="1:7">
      <c r="A116" s="7"/>
      <c r="B116" s="7"/>
      <c r="C116" s="7"/>
      <c r="D116" s="7"/>
      <c r="E116" s="7"/>
      <c r="F116" s="7"/>
      <c r="G116" s="7"/>
    </row>
    <row r="117" spans="1:7">
      <c r="A117" s="7"/>
      <c r="B117" s="7"/>
      <c r="C117" s="7"/>
      <c r="D117" s="7"/>
      <c r="E117" s="7"/>
      <c r="F117" s="7"/>
      <c r="G117" s="7"/>
    </row>
    <row r="118" spans="1:7">
      <c r="A118" s="7"/>
      <c r="B118" s="7"/>
      <c r="C118" s="7"/>
      <c r="D118" s="7"/>
      <c r="E118" s="7"/>
      <c r="F118" s="7"/>
      <c r="G118" s="7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</sheetData>
  <sheetProtection sheet="1" objects="1" scenarios="1"/>
  <mergeCells count="73">
    <mergeCell ref="A91:G91"/>
    <mergeCell ref="A51:G51"/>
    <mergeCell ref="A52:G52"/>
    <mergeCell ref="A56:G56"/>
    <mergeCell ref="B58:G58"/>
    <mergeCell ref="A58:A60"/>
    <mergeCell ref="A63:A65"/>
    <mergeCell ref="B63:G63"/>
    <mergeCell ref="G68:G69"/>
    <mergeCell ref="A68:A70"/>
    <mergeCell ref="B68:C68"/>
    <mergeCell ref="D68:E68"/>
    <mergeCell ref="D69:E69"/>
    <mergeCell ref="B65:G66"/>
    <mergeCell ref="B60:G61"/>
    <mergeCell ref="A54:F54"/>
    <mergeCell ref="C38:D38"/>
    <mergeCell ref="A41:G41"/>
    <mergeCell ref="A42:A44"/>
    <mergeCell ref="B42:D43"/>
    <mergeCell ref="E37:F37"/>
    <mergeCell ref="E38:F38"/>
    <mergeCell ref="A39:E39"/>
    <mergeCell ref="A15:F16"/>
    <mergeCell ref="C18:D18"/>
    <mergeCell ref="E20:F20"/>
    <mergeCell ref="A11:B11"/>
    <mergeCell ref="C9:D9"/>
    <mergeCell ref="E9:F9"/>
    <mergeCell ref="A13:B13"/>
    <mergeCell ref="A10:B10"/>
    <mergeCell ref="A12:B12"/>
    <mergeCell ref="A93:G93"/>
    <mergeCell ref="C34:D34"/>
    <mergeCell ref="E36:F36"/>
    <mergeCell ref="A31:F32"/>
    <mergeCell ref="N30:P30"/>
    <mergeCell ref="N31:P31"/>
    <mergeCell ref="A53:F53"/>
    <mergeCell ref="A55:F55"/>
    <mergeCell ref="C36:D36"/>
    <mergeCell ref="A36:B36"/>
    <mergeCell ref="C35:D35"/>
    <mergeCell ref="B45:G45"/>
    <mergeCell ref="B44:D44"/>
    <mergeCell ref="A37:B37"/>
    <mergeCell ref="A38:B38"/>
    <mergeCell ref="C37:D37"/>
    <mergeCell ref="E7:F7"/>
    <mergeCell ref="A9:B9"/>
    <mergeCell ref="A2:F2"/>
    <mergeCell ref="A6:F6"/>
    <mergeCell ref="N4:P4"/>
    <mergeCell ref="A7:B8"/>
    <mergeCell ref="A4:F5"/>
    <mergeCell ref="C8:D8"/>
    <mergeCell ref="E8:F8"/>
    <mergeCell ref="A47:F47"/>
    <mergeCell ref="A48:F48"/>
    <mergeCell ref="A49:F49"/>
    <mergeCell ref="A46:F46"/>
    <mergeCell ref="A1:G1"/>
    <mergeCell ref="E35:F35"/>
    <mergeCell ref="A34:B35"/>
    <mergeCell ref="A17:F17"/>
    <mergeCell ref="C20:D20"/>
    <mergeCell ref="E18:F18"/>
    <mergeCell ref="C19:D19"/>
    <mergeCell ref="E19:F19"/>
    <mergeCell ref="A18:B19"/>
    <mergeCell ref="A33:F33"/>
    <mergeCell ref="E34:F34"/>
    <mergeCell ref="C7:D7"/>
  </mergeCells>
  <phoneticPr fontId="7" type="noConversion"/>
  <pageMargins left="0.43307086614173229" right="0.39370078740157483" top="0.39370078740157483" bottom="0.39370078740157483" header="0.19685039370078741" footer="0.19685039370078741"/>
  <pageSetup paperSize="9" scale="71" orientation="portrait" r:id="rId1"/>
  <headerFooter>
    <oddFooter>&amp;C&amp;"Times New Roman,Normal"&amp;8&amp;K000000Løntabel for Ledere ved frie grundskoler&amp;R&amp;"Times New Roman,Normal"&amp;8&amp;K000000Side &amp;P af i alt &amp;N sider</oddFooter>
  </headerFooter>
  <rowBreaks count="1" manualBreakCount="1">
    <brk id="49" max="6" man="1"/>
  </rowBreaks>
  <colBreaks count="1" manualBreakCount="1">
    <brk id="8" max="1048575" man="1"/>
  </colBreaks>
  <ignoredErrors>
    <ignoredError sqref="D71:D72 D73:D9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3"/>
  <sheetViews>
    <sheetView view="pageBreakPreview" zoomScale="85" zoomScaleSheetLayoutView="85" workbookViewId="0">
      <selection activeCell="F68" sqref="F68:G68"/>
    </sheetView>
  </sheetViews>
  <sheetFormatPr defaultColWidth="8.85546875" defaultRowHeight="15"/>
  <cols>
    <col min="1" max="1" width="10" style="223" customWidth="1"/>
    <col min="2" max="8" width="17" style="223" customWidth="1"/>
    <col min="9" max="16384" width="8.85546875" style="223"/>
  </cols>
  <sheetData>
    <row r="1" spans="1:8" ht="20.25">
      <c r="A1" s="1053" t="s">
        <v>19</v>
      </c>
      <c r="B1" s="1054"/>
      <c r="C1" s="1054"/>
      <c r="D1" s="1054"/>
      <c r="E1" s="1054"/>
      <c r="F1" s="1054"/>
      <c r="G1" s="1054"/>
      <c r="H1" s="1055"/>
    </row>
    <row r="2" spans="1:8" ht="20.25">
      <c r="A2" s="1067" t="s">
        <v>164</v>
      </c>
      <c r="B2" s="1068"/>
      <c r="C2" s="1068"/>
      <c r="D2" s="1068"/>
      <c r="E2" s="1068"/>
      <c r="F2" s="1068"/>
      <c r="G2" s="1068"/>
      <c r="H2" s="1069"/>
    </row>
    <row r="3" spans="1:8" ht="21" thickBot="1">
      <c r="A3" s="1334" t="str">
        <f>'Forside 1'!A6:I6</f>
        <v>Gældende fra 1. november 2025</v>
      </c>
      <c r="B3" s="1335"/>
      <c r="C3" s="1335"/>
      <c r="D3" s="1335"/>
      <c r="E3" s="1335"/>
      <c r="F3" s="1335"/>
      <c r="G3" s="1335"/>
      <c r="H3" s="1336"/>
    </row>
    <row r="4" spans="1:8" ht="18.75" customHeight="1" thickBot="1">
      <c r="A4" s="587"/>
      <c r="B4" s="587"/>
      <c r="C4" s="587"/>
      <c r="D4" s="587"/>
      <c r="E4" s="587"/>
      <c r="F4" s="587"/>
      <c r="G4" s="587"/>
      <c r="H4" s="587"/>
    </row>
    <row r="5" spans="1:8" ht="41.25" customHeight="1" thickBot="1">
      <c r="A5" s="1339" t="s">
        <v>384</v>
      </c>
      <c r="B5" s="1340"/>
      <c r="C5" s="1340"/>
      <c r="D5" s="1340"/>
      <c r="E5" s="1340"/>
      <c r="F5" s="1341"/>
      <c r="G5" s="1319" t="s">
        <v>90</v>
      </c>
      <c r="H5" s="1320"/>
    </row>
    <row r="6" spans="1:8" ht="26.1" customHeight="1" thickBot="1">
      <c r="A6" s="1316" t="s">
        <v>383</v>
      </c>
      <c r="B6" s="1317"/>
      <c r="C6" s="1317"/>
      <c r="D6" s="1317"/>
      <c r="E6" s="1317"/>
      <c r="F6" s="1317"/>
      <c r="G6" s="1317"/>
      <c r="H6" s="1318"/>
    </row>
    <row r="7" spans="1:8">
      <c r="A7" s="606" t="s">
        <v>57</v>
      </c>
      <c r="B7" s="606" t="s">
        <v>72</v>
      </c>
      <c r="C7" s="606" t="s">
        <v>73</v>
      </c>
      <c r="D7" s="606" t="s">
        <v>74</v>
      </c>
      <c r="E7" s="606" t="s">
        <v>75</v>
      </c>
      <c r="F7" s="606" t="s">
        <v>76</v>
      </c>
      <c r="G7" s="606" t="s">
        <v>200</v>
      </c>
      <c r="H7" s="603">
        <v>0.14699999999999999</v>
      </c>
    </row>
    <row r="8" spans="1:8" ht="15.75">
      <c r="A8" s="529">
        <v>14</v>
      </c>
      <c r="B8" s="530">
        <f>+'Statens skalatrin'!D46</f>
        <v>23692.92</v>
      </c>
      <c r="C8" s="530">
        <f>+'Statens skalatrin'!F46</f>
        <v>24186.33</v>
      </c>
      <c r="D8" s="530">
        <f>+'Statens skalatrin'!H46</f>
        <v>24527.83</v>
      </c>
      <c r="E8" s="530">
        <f>+'Statens skalatrin'!J46</f>
        <v>25021.17</v>
      </c>
      <c r="F8" s="530">
        <f>+'Statens skalatrin'!L46</f>
        <v>25362.67</v>
      </c>
      <c r="G8" s="531">
        <f>+'Statens skalatrin'!O46</f>
        <v>22152.13</v>
      </c>
      <c r="H8" s="531">
        <f>ROUND(G8*$H$7,2)</f>
        <v>3256.36</v>
      </c>
    </row>
    <row r="9" spans="1:8" ht="15.75">
      <c r="A9" s="529">
        <v>15</v>
      </c>
      <c r="B9" s="530">
        <f>+'Statens skalatrin'!D49</f>
        <v>24113.25</v>
      </c>
      <c r="C9" s="530">
        <f>+'Statens skalatrin'!F49</f>
        <v>24618.92</v>
      </c>
      <c r="D9" s="530">
        <f>+'Statens skalatrin'!H49</f>
        <v>24969</v>
      </c>
      <c r="E9" s="530">
        <f>+'Statens skalatrin'!J49</f>
        <v>25474.92</v>
      </c>
      <c r="F9" s="530">
        <f>+'Statens skalatrin'!L49</f>
        <v>25825.08</v>
      </c>
      <c r="G9" s="531">
        <f>+'Statens skalatrin'!O49</f>
        <v>22545.86</v>
      </c>
      <c r="H9" s="531">
        <f t="shared" ref="H9:H32" si="0">ROUND(G9*$H$7,2)</f>
        <v>3314.24</v>
      </c>
    </row>
    <row r="10" spans="1:8" ht="15.75">
      <c r="A10" s="529">
        <v>16</v>
      </c>
      <c r="B10" s="530">
        <f>'Statens skalatrin'!D52</f>
        <v>24435.33</v>
      </c>
      <c r="C10" s="530">
        <f>+'Statens skalatrin'!F52</f>
        <v>24953.919999999998</v>
      </c>
      <c r="D10" s="530">
        <f>+'Statens skalatrin'!H52</f>
        <v>25313</v>
      </c>
      <c r="E10" s="530">
        <f>+'Statens skalatrin'!J52</f>
        <v>25831.5</v>
      </c>
      <c r="F10" s="530">
        <f>+'Statens skalatrin'!L52</f>
        <v>26190.67</v>
      </c>
      <c r="G10" s="531">
        <f>+'Statens skalatrin'!O52</f>
        <v>22950.66</v>
      </c>
      <c r="H10" s="531">
        <f t="shared" si="0"/>
        <v>3373.75</v>
      </c>
    </row>
    <row r="11" spans="1:8" ht="15.75">
      <c r="A11" s="529">
        <v>17</v>
      </c>
      <c r="B11" s="530">
        <f>'Statens skalatrin'!D55</f>
        <v>24878.92</v>
      </c>
      <c r="C11" s="530">
        <f>+'Statens skalatrin'!F55</f>
        <v>25410.75</v>
      </c>
      <c r="D11" s="530">
        <f>+'Statens skalatrin'!H55</f>
        <v>25778.92</v>
      </c>
      <c r="E11" s="530">
        <f>+'Statens skalatrin'!J55</f>
        <v>26310.67</v>
      </c>
      <c r="F11" s="530">
        <f>+'Statens skalatrin'!L55</f>
        <v>26678.58</v>
      </c>
      <c r="G11" s="531">
        <f>+'Statens skalatrin'!O55</f>
        <v>23366.37</v>
      </c>
      <c r="H11" s="531">
        <f t="shared" si="0"/>
        <v>3434.86</v>
      </c>
    </row>
    <row r="12" spans="1:8" ht="15.75">
      <c r="A12" s="529">
        <v>18</v>
      </c>
      <c r="B12" s="530">
        <f>'Statens skalatrin'!D58</f>
        <v>25335.08</v>
      </c>
      <c r="C12" s="530">
        <f>+'Statens skalatrin'!F58</f>
        <v>25880.42</v>
      </c>
      <c r="D12" s="530">
        <f>+'Statens skalatrin'!H58</f>
        <v>26257.919999999998</v>
      </c>
      <c r="E12" s="530">
        <f>+'Statens skalatrin'!J58</f>
        <v>26803.08</v>
      </c>
      <c r="F12" s="530">
        <f>+'Statens skalatrin'!L58</f>
        <v>27180.5</v>
      </c>
      <c r="G12" s="531">
        <f>+'Statens skalatrin'!O58</f>
        <v>23793.72</v>
      </c>
      <c r="H12" s="531">
        <f t="shared" si="0"/>
        <v>3497.68</v>
      </c>
    </row>
    <row r="13" spans="1:8" ht="15.75">
      <c r="A13" s="529">
        <v>19</v>
      </c>
      <c r="B13" s="530">
        <f>'Statens skalatrin'!D61</f>
        <v>25675.5</v>
      </c>
      <c r="C13" s="530">
        <f>+'Statens skalatrin'!F61</f>
        <v>26234.67</v>
      </c>
      <c r="D13" s="530">
        <f>+'Statens skalatrin'!H61</f>
        <v>26621.58</v>
      </c>
      <c r="E13" s="530">
        <f>+'Statens skalatrin'!J61</f>
        <v>27180.92</v>
      </c>
      <c r="F13" s="530">
        <f>+'Statens skalatrin'!L61</f>
        <v>27568.080000000002</v>
      </c>
      <c r="G13" s="531">
        <f>+'Statens skalatrin'!O61</f>
        <v>24232.71</v>
      </c>
      <c r="H13" s="531">
        <f t="shared" si="0"/>
        <v>3562.21</v>
      </c>
    </row>
    <row r="14" spans="1:8" ht="15.75">
      <c r="A14" s="529">
        <v>20</v>
      </c>
      <c r="B14" s="530">
        <f>+'Statens skalatrin'!D64</f>
        <v>26029</v>
      </c>
      <c r="C14" s="530">
        <f>+'Statens skalatrin'!F64</f>
        <v>26602.25</v>
      </c>
      <c r="D14" s="530">
        <f>+'Statens skalatrin'!H64</f>
        <v>26999.25</v>
      </c>
      <c r="E14" s="530">
        <f>+'Statens skalatrin'!J64</f>
        <v>27572.58</v>
      </c>
      <c r="F14" s="530">
        <f>+'Statens skalatrin'!L64</f>
        <v>27969.42</v>
      </c>
      <c r="G14" s="531">
        <f>+'Statens skalatrin'!O64</f>
        <v>24683.73</v>
      </c>
      <c r="H14" s="531">
        <f t="shared" si="0"/>
        <v>3628.51</v>
      </c>
    </row>
    <row r="15" spans="1:8" ht="15.75">
      <c r="A15" s="529">
        <v>21</v>
      </c>
      <c r="B15" s="530">
        <f>+'Statens skalatrin'!D67</f>
        <v>26459.83</v>
      </c>
      <c r="C15" s="530">
        <f>+'Statens skalatrin'!F67</f>
        <v>27047.83</v>
      </c>
      <c r="D15" s="530">
        <f>+'Statens skalatrin'!H67</f>
        <v>27454.92</v>
      </c>
      <c r="E15" s="530">
        <f>+'Statens skalatrin'!J67</f>
        <v>28043</v>
      </c>
      <c r="F15" s="530">
        <f>+'Statens skalatrin'!L67</f>
        <v>28450.080000000002</v>
      </c>
      <c r="G15" s="531">
        <f>+'Statens skalatrin'!O67</f>
        <v>25147.33</v>
      </c>
      <c r="H15" s="531">
        <f t="shared" si="0"/>
        <v>3696.66</v>
      </c>
    </row>
    <row r="16" spans="1:8" ht="15.75">
      <c r="A16" s="529">
        <v>22</v>
      </c>
      <c r="B16" s="530">
        <f>+'Statens skalatrin'!D70</f>
        <v>26859</v>
      </c>
      <c r="C16" s="530">
        <f>+'Statens skalatrin'!F70</f>
        <v>27447.08</v>
      </c>
      <c r="D16" s="530">
        <f>+'Statens skalatrin'!H70</f>
        <v>27854.17</v>
      </c>
      <c r="E16" s="530">
        <f>+'Statens skalatrin'!J70</f>
        <v>28442.17</v>
      </c>
      <c r="F16" s="530">
        <f>+'Statens skalatrin'!L70</f>
        <v>28849.33</v>
      </c>
      <c r="G16" s="531">
        <f>+'Statens skalatrin'!O70</f>
        <v>25610.55</v>
      </c>
      <c r="H16" s="531">
        <f t="shared" si="0"/>
        <v>3764.75</v>
      </c>
    </row>
    <row r="17" spans="1:8" ht="15.75">
      <c r="A17" s="529">
        <v>23</v>
      </c>
      <c r="B17" s="530">
        <f>+'Statens skalatrin'!D73</f>
        <v>27286.83</v>
      </c>
      <c r="C17" s="530">
        <f>+'Statens skalatrin'!F73</f>
        <v>27858.5</v>
      </c>
      <c r="D17" s="530">
        <f>+'Statens skalatrin'!H73</f>
        <v>28254.58</v>
      </c>
      <c r="E17" s="530">
        <f>+'Statens skalatrin'!J73</f>
        <v>28826.5</v>
      </c>
      <c r="F17" s="530">
        <f>+'Statens skalatrin'!L73</f>
        <v>29222.25</v>
      </c>
      <c r="G17" s="531">
        <f>+'Statens skalatrin'!O73</f>
        <v>26072.65</v>
      </c>
      <c r="H17" s="531">
        <f t="shared" si="0"/>
        <v>3832.68</v>
      </c>
    </row>
    <row r="18" spans="1:8" ht="15.75">
      <c r="A18" s="529">
        <v>24</v>
      </c>
      <c r="B18" s="530">
        <f>+'Statens skalatrin'!D76</f>
        <v>27727.67</v>
      </c>
      <c r="C18" s="530">
        <f>+'Statens skalatrin'!F76</f>
        <v>28283.33</v>
      </c>
      <c r="D18" s="530">
        <f>+'Statens skalatrin'!H76</f>
        <v>28668.080000000002</v>
      </c>
      <c r="E18" s="530">
        <f>+'Statens skalatrin'!J76</f>
        <v>29223.83</v>
      </c>
      <c r="F18" s="530">
        <f>+'Statens skalatrin'!L76</f>
        <v>29608.58</v>
      </c>
      <c r="G18" s="531">
        <f>+'Statens skalatrin'!O76</f>
        <v>26547.88</v>
      </c>
      <c r="H18" s="531">
        <f t="shared" si="0"/>
        <v>3902.54</v>
      </c>
    </row>
    <row r="19" spans="1:8" ht="15.75">
      <c r="A19" s="529">
        <v>25</v>
      </c>
      <c r="B19" s="530">
        <f>+'Statens skalatrin'!D79</f>
        <v>28178.33</v>
      </c>
      <c r="C19" s="530">
        <f>+'Statens skalatrin'!F79</f>
        <v>28716.67</v>
      </c>
      <c r="D19" s="530">
        <f>+'Statens skalatrin'!H79</f>
        <v>29089.42</v>
      </c>
      <c r="E19" s="530">
        <f>+'Statens skalatrin'!J79</f>
        <v>29627.83</v>
      </c>
      <c r="F19" s="530">
        <f>+'Statens skalatrin'!L79</f>
        <v>30000.5</v>
      </c>
      <c r="G19" s="531">
        <f>+'Statens skalatrin'!O79</f>
        <v>27035.43</v>
      </c>
      <c r="H19" s="531">
        <f t="shared" si="0"/>
        <v>3974.21</v>
      </c>
    </row>
    <row r="20" spans="1:8" ht="15.75">
      <c r="A20" s="529">
        <v>26</v>
      </c>
      <c r="B20" s="530">
        <f>+'Statens skalatrin'!D82</f>
        <v>28639.42</v>
      </c>
      <c r="C20" s="530">
        <f>+'Statens skalatrin'!F82</f>
        <v>29159.08</v>
      </c>
      <c r="D20" s="530">
        <f>+'Statens skalatrin'!H82</f>
        <v>29518.92</v>
      </c>
      <c r="E20" s="530">
        <f>+'Statens skalatrin'!J82</f>
        <v>30038.67</v>
      </c>
      <c r="F20" s="530">
        <f>+'Statens skalatrin'!L82</f>
        <v>30398.42</v>
      </c>
      <c r="G20" s="531">
        <f>+'Statens skalatrin'!O82</f>
        <v>27535.8</v>
      </c>
      <c r="H20" s="531">
        <f t="shared" si="0"/>
        <v>4047.76</v>
      </c>
    </row>
    <row r="21" spans="1:8" ht="15.75">
      <c r="A21" s="529">
        <v>27</v>
      </c>
      <c r="B21" s="530">
        <f>+'Statens skalatrin'!D85</f>
        <v>29110.5</v>
      </c>
      <c r="C21" s="530">
        <f>+'Statens skalatrin'!F85</f>
        <v>29610.080000000002</v>
      </c>
      <c r="D21" s="530">
        <f>+'Statens skalatrin'!H85</f>
        <v>29956.33</v>
      </c>
      <c r="E21" s="530">
        <f>+'Statens skalatrin'!J85</f>
        <v>30456.080000000002</v>
      </c>
      <c r="F21" s="530">
        <f>+'Statens skalatrin'!L85</f>
        <v>30802.17</v>
      </c>
      <c r="G21" s="531">
        <f>+'Statens skalatrin'!O85</f>
        <v>28049.11</v>
      </c>
      <c r="H21" s="531">
        <f t="shared" si="0"/>
        <v>4123.22</v>
      </c>
    </row>
    <row r="22" spans="1:8" ht="15.75">
      <c r="A22" s="529">
        <v>28</v>
      </c>
      <c r="B22" s="530">
        <f>+'Statens skalatrin'!D88</f>
        <v>29592.080000000002</v>
      </c>
      <c r="C22" s="530">
        <f>+'Statens skalatrin'!F88</f>
        <v>30070.75</v>
      </c>
      <c r="D22" s="530">
        <f>+'Statens skalatrin'!H88</f>
        <v>30402.080000000002</v>
      </c>
      <c r="E22" s="530">
        <f>+'Statens skalatrin'!J88</f>
        <v>30880.58</v>
      </c>
      <c r="F22" s="530">
        <f>+'Statens skalatrin'!L88</f>
        <v>31212</v>
      </c>
      <c r="G22" s="531">
        <f>+'Statens skalatrin'!O88</f>
        <v>28576.07</v>
      </c>
      <c r="H22" s="531">
        <f t="shared" si="0"/>
        <v>4200.68</v>
      </c>
    </row>
    <row r="23" spans="1:8" ht="15.75">
      <c r="A23" s="529">
        <v>29</v>
      </c>
      <c r="B23" s="530">
        <f>+'Statens skalatrin'!D91</f>
        <v>30084.58</v>
      </c>
      <c r="C23" s="530">
        <f>+'Statens skalatrin'!F91</f>
        <v>30540.5</v>
      </c>
      <c r="D23" s="530">
        <f>+'Statens skalatrin'!H91</f>
        <v>30856.25</v>
      </c>
      <c r="E23" s="530">
        <f>+'Statens skalatrin'!J91</f>
        <v>31312.17</v>
      </c>
      <c r="F23" s="530">
        <f>+'Statens skalatrin'!L91</f>
        <v>31627.75</v>
      </c>
      <c r="G23" s="531">
        <f>+'Statens skalatrin'!O91</f>
        <v>29116.61</v>
      </c>
      <c r="H23" s="531">
        <f t="shared" si="0"/>
        <v>4280.1400000000003</v>
      </c>
    </row>
    <row r="24" spans="1:8" ht="15.75">
      <c r="A24" s="529">
        <v>30</v>
      </c>
      <c r="B24" s="530">
        <f>+'Statens skalatrin'!D94</f>
        <v>30588.25</v>
      </c>
      <c r="C24" s="530">
        <f>+'Statens skalatrin'!F94</f>
        <v>31020.080000000002</v>
      </c>
      <c r="D24" s="530">
        <f>+'Statens skalatrin'!H94</f>
        <v>31318.92</v>
      </c>
      <c r="E24" s="530">
        <f>+'Statens skalatrin'!J94</f>
        <v>31750.5</v>
      </c>
      <c r="F24" s="530">
        <f>+'Statens skalatrin'!L94</f>
        <v>32049.42</v>
      </c>
      <c r="G24" s="531">
        <f>+'Statens skalatrin'!O94</f>
        <v>29671.4</v>
      </c>
      <c r="H24" s="531">
        <f t="shared" si="0"/>
        <v>4361.7</v>
      </c>
    </row>
    <row r="25" spans="1:8" ht="15.75">
      <c r="A25" s="529">
        <v>31</v>
      </c>
      <c r="B25" s="530">
        <f>+'Statens skalatrin'!D97</f>
        <v>31102.75</v>
      </c>
      <c r="C25" s="530">
        <f>+'Statens skalatrin'!F97</f>
        <v>31508.75</v>
      </c>
      <c r="D25" s="530">
        <f>+'Statens skalatrin'!H97</f>
        <v>31790.080000000002</v>
      </c>
      <c r="E25" s="530">
        <f>+'Statens skalatrin'!J97</f>
        <v>32196.080000000002</v>
      </c>
      <c r="F25" s="530">
        <f>+'Statens skalatrin'!L97</f>
        <v>32477.25</v>
      </c>
      <c r="G25" s="531">
        <f>+'Statens skalatrin'!O97</f>
        <v>30240.57</v>
      </c>
      <c r="H25" s="531">
        <f t="shared" si="0"/>
        <v>4445.3599999999997</v>
      </c>
    </row>
    <row r="26" spans="1:8" ht="15.75">
      <c r="A26" s="529">
        <v>32</v>
      </c>
      <c r="B26" s="530">
        <f>+'Statens skalatrin'!D100</f>
        <v>31629.08</v>
      </c>
      <c r="C26" s="530">
        <f>+'Statens skalatrin'!F100</f>
        <v>32007.83</v>
      </c>
      <c r="D26" s="530">
        <f>+'Statens skalatrin'!H100</f>
        <v>32270</v>
      </c>
      <c r="E26" s="530">
        <f>+'Statens skalatrin'!J100</f>
        <v>32648.92</v>
      </c>
      <c r="F26" s="530">
        <f>+'Statens skalatrin'!L100</f>
        <v>32911</v>
      </c>
      <c r="G26" s="531">
        <f>+'Statens skalatrin'!O100</f>
        <v>30824.81</v>
      </c>
      <c r="H26" s="531">
        <f t="shared" si="0"/>
        <v>4531.25</v>
      </c>
    </row>
    <row r="27" spans="1:8" ht="15.75">
      <c r="A27" s="529">
        <v>33</v>
      </c>
      <c r="B27" s="530">
        <f>+'Statens skalatrin'!D103</f>
        <v>32166.67</v>
      </c>
      <c r="C27" s="530">
        <f>+'Statens skalatrin'!F103</f>
        <v>32516.33</v>
      </c>
      <c r="D27" s="530">
        <f>+'Statens skalatrin'!H103</f>
        <v>32758.67</v>
      </c>
      <c r="E27" s="530">
        <f>+'Statens skalatrin'!J103</f>
        <v>33108.42</v>
      </c>
      <c r="F27" s="530">
        <f>+'Statens skalatrin'!L103</f>
        <v>33350.58</v>
      </c>
      <c r="G27" s="531">
        <f>+'Statens skalatrin'!O103</f>
        <v>31424.03</v>
      </c>
      <c r="H27" s="531">
        <f t="shared" si="0"/>
        <v>4619.33</v>
      </c>
    </row>
    <row r="28" spans="1:8" ht="15.75">
      <c r="A28" s="529">
        <v>34</v>
      </c>
      <c r="B28" s="530">
        <f>+'Statens skalatrin'!D106</f>
        <v>32716.5</v>
      </c>
      <c r="C28" s="530">
        <f>+'Statens skalatrin'!F106</f>
        <v>33035.5</v>
      </c>
      <c r="D28" s="530">
        <f>+'Statens skalatrin'!H106</f>
        <v>33256.42</v>
      </c>
      <c r="E28" s="530">
        <f>+'Statens skalatrin'!J106</f>
        <v>33575.25</v>
      </c>
      <c r="F28" s="530">
        <f>+'Statens skalatrin'!L106</f>
        <v>33796.17</v>
      </c>
      <c r="G28" s="531">
        <f>+'Statens skalatrin'!O106</f>
        <v>32039.11</v>
      </c>
      <c r="H28" s="531">
        <f t="shared" si="0"/>
        <v>4709.75</v>
      </c>
    </row>
    <row r="29" spans="1:8" ht="15.75">
      <c r="A29" s="529">
        <v>35</v>
      </c>
      <c r="B29" s="530">
        <f>+'Statens skalatrin'!D109</f>
        <v>33278.5</v>
      </c>
      <c r="C29" s="530">
        <f>+'Statens skalatrin'!F109</f>
        <v>33565.08</v>
      </c>
      <c r="D29" s="530">
        <f>+'Statens skalatrin'!H109</f>
        <v>33763.25</v>
      </c>
      <c r="E29" s="530">
        <f>+'Statens skalatrin'!J109</f>
        <v>34049.83</v>
      </c>
      <c r="F29" s="530">
        <f>+'Statens skalatrin'!L109</f>
        <v>34248</v>
      </c>
      <c r="G29" s="531">
        <f>+'Statens skalatrin'!O109</f>
        <v>32670.32</v>
      </c>
      <c r="H29" s="531">
        <f t="shared" si="0"/>
        <v>4802.54</v>
      </c>
    </row>
    <row r="30" spans="1:8" ht="15.75">
      <c r="A30" s="529">
        <v>36</v>
      </c>
      <c r="B30" s="530">
        <f>'Statens skalatrin'!D112</f>
        <v>33852.75</v>
      </c>
      <c r="C30" s="530">
        <f>+'Statens skalatrin'!F112</f>
        <v>34104.67</v>
      </c>
      <c r="D30" s="530">
        <f>+'Statens skalatrin'!H112</f>
        <v>34279.17</v>
      </c>
      <c r="E30" s="530">
        <f>+'Statens skalatrin'!J112</f>
        <v>34531.17</v>
      </c>
      <c r="F30" s="530">
        <f>+'Statens skalatrin'!L112</f>
        <v>34705.5</v>
      </c>
      <c r="G30" s="531">
        <f>+'Statens skalatrin'!O112</f>
        <v>33317.800000000003</v>
      </c>
      <c r="H30" s="531">
        <f t="shared" si="0"/>
        <v>4897.72</v>
      </c>
    </row>
    <row r="31" spans="1:8" ht="15.75">
      <c r="A31" s="529">
        <v>37</v>
      </c>
      <c r="B31" s="530">
        <f>+'Statens skalatrin'!D115</f>
        <v>34439.75</v>
      </c>
      <c r="C31" s="530">
        <f>+'Statens skalatrin'!F115</f>
        <v>34655.25</v>
      </c>
      <c r="D31" s="530">
        <f>+'Statens skalatrin'!H115</f>
        <v>34804.33</v>
      </c>
      <c r="E31" s="530">
        <f>+'Statens skalatrin'!J115</f>
        <v>35019.75</v>
      </c>
      <c r="F31" s="530">
        <f>+'Statens skalatrin'!L115</f>
        <v>35169</v>
      </c>
      <c r="G31" s="531">
        <f>+'Statens skalatrin'!O115</f>
        <v>33982.199999999997</v>
      </c>
      <c r="H31" s="531">
        <f t="shared" si="0"/>
        <v>4995.38</v>
      </c>
    </row>
    <row r="32" spans="1:8" ht="15.75">
      <c r="A32" s="777">
        <v>38</v>
      </c>
      <c r="B32" s="531">
        <f>+'Statens skalatrin'!D118</f>
        <v>35059.67</v>
      </c>
      <c r="C32" s="531">
        <f>+'Statens skalatrin'!F118</f>
        <v>35239.919999999998</v>
      </c>
      <c r="D32" s="531">
        <f>+'Statens skalatrin'!H118</f>
        <v>35364.75</v>
      </c>
      <c r="E32" s="531">
        <f>+'Statens skalatrin'!J118</f>
        <v>35545</v>
      </c>
      <c r="F32" s="531">
        <f>+'Statens skalatrin'!L118</f>
        <v>35670.080000000002</v>
      </c>
      <c r="G32" s="531">
        <f>+'Statens skalatrin'!O118</f>
        <v>34676.660000000003</v>
      </c>
      <c r="H32" s="531">
        <f t="shared" si="0"/>
        <v>5097.47</v>
      </c>
    </row>
    <row r="33" spans="1:8" ht="15.75">
      <c r="A33" s="803">
        <v>39</v>
      </c>
      <c r="B33" s="531">
        <f>+'Statens skalatrin'!D121</f>
        <v>35685.58</v>
      </c>
      <c r="C33" s="531">
        <f>+'Statens skalatrin'!F121</f>
        <v>35824.5</v>
      </c>
      <c r="D33" s="531">
        <f>+'Statens skalatrin'!H121</f>
        <v>35920.67</v>
      </c>
      <c r="E33" s="531">
        <f>+'Statens skalatrin'!J121</f>
        <v>36059.42</v>
      </c>
      <c r="F33" s="531">
        <f>+'Statens skalatrin'!L121</f>
        <v>36155.67</v>
      </c>
      <c r="G33" s="531">
        <f>+'Statens skalatrin'!O121</f>
        <v>35390.800000000003</v>
      </c>
      <c r="H33" s="531">
        <f t="shared" ref="H33:H34" si="1">ROUND(G33*$H$7,2)</f>
        <v>5202.45</v>
      </c>
    </row>
    <row r="34" spans="1:8" ht="15.75">
      <c r="A34" s="777">
        <v>40</v>
      </c>
      <c r="B34" s="531">
        <f>+'Statens skalatrin'!D124</f>
        <v>36325.25</v>
      </c>
      <c r="C34" s="531">
        <f>+'Statens skalatrin'!F124</f>
        <v>36420.17</v>
      </c>
      <c r="D34" s="531">
        <f>+'Statens skalatrin'!H124</f>
        <v>36485.919999999998</v>
      </c>
      <c r="E34" s="531">
        <f>+'Statens skalatrin'!J124</f>
        <v>36580.83</v>
      </c>
      <c r="F34" s="531">
        <f>+'Statens skalatrin'!L124</f>
        <v>36646.67</v>
      </c>
      <c r="G34" s="531">
        <f>+'Statens skalatrin'!O124</f>
        <v>36123.42</v>
      </c>
      <c r="H34" s="531">
        <f t="shared" si="1"/>
        <v>5310.14</v>
      </c>
    </row>
    <row r="35" spans="1:8" ht="15.75">
      <c r="A35" s="817">
        <v>41</v>
      </c>
      <c r="B35" s="531">
        <f>+'Statens skalatrin'!D127</f>
        <v>36978.83</v>
      </c>
      <c r="C35" s="531">
        <f>+'Statens skalatrin'!F127</f>
        <v>37027.42</v>
      </c>
      <c r="D35" s="531">
        <f>+'Statens skalatrin'!H127</f>
        <v>37061.25</v>
      </c>
      <c r="E35" s="531">
        <f>+'Statens skalatrin'!J127</f>
        <v>37110</v>
      </c>
      <c r="F35" s="531">
        <f>+'Statens skalatrin'!L127</f>
        <v>37143.58</v>
      </c>
      <c r="G35" s="531">
        <f>+'Statens skalatrin'!O127</f>
        <v>36875.160000000003</v>
      </c>
      <c r="H35" s="531">
        <f>ROUND(G35*$H$7,2)</f>
        <v>5420.65</v>
      </c>
    </row>
    <row r="36" spans="1:8" ht="16.5" thickBot="1">
      <c r="A36" s="778">
        <v>42</v>
      </c>
      <c r="B36" s="818">
        <f>+'Statens skalatrin'!D130</f>
        <v>37646.58</v>
      </c>
      <c r="C36" s="818">
        <f>+'Statens skalatrin'!F130</f>
        <v>37646.58</v>
      </c>
      <c r="D36" s="818">
        <f>+'Statens skalatrin'!H130</f>
        <v>37646.58</v>
      </c>
      <c r="E36" s="818">
        <f>+'Statens skalatrin'!J130</f>
        <v>37646.58</v>
      </c>
      <c r="F36" s="818">
        <f>+'Statens skalatrin'!L130</f>
        <v>37646.58</v>
      </c>
      <c r="G36" s="818">
        <f>+'Statens skalatrin'!O130</f>
        <v>37646.49</v>
      </c>
      <c r="H36" s="818">
        <f t="shared" ref="H36" si="2">ROUND(G36*$H$7,2)</f>
        <v>5534.03</v>
      </c>
    </row>
    <row r="37" spans="1:8" ht="21" thickBot="1">
      <c r="A37" s="1342" t="s">
        <v>385</v>
      </c>
      <c r="B37" s="1343"/>
      <c r="C37" s="1343"/>
      <c r="D37" s="1343"/>
      <c r="E37" s="1343"/>
      <c r="F37" s="1344"/>
      <c r="G37" s="1337" t="s">
        <v>311</v>
      </c>
      <c r="H37" s="1338"/>
    </row>
    <row r="38" spans="1:8" ht="26.1" customHeight="1" thickBot="1">
      <c r="A38" s="1311" t="s">
        <v>383</v>
      </c>
      <c r="B38" s="1312"/>
      <c r="C38" s="1312"/>
      <c r="D38" s="1312"/>
      <c r="E38" s="1312"/>
      <c r="F38" s="1312"/>
      <c r="G38" s="1312"/>
      <c r="H38" s="1313"/>
    </row>
    <row r="39" spans="1:8" ht="26.1" customHeight="1" thickBot="1">
      <c r="A39" s="483" t="s">
        <v>57</v>
      </c>
      <c r="B39" s="483" t="s">
        <v>72</v>
      </c>
      <c r="C39" s="483" t="s">
        <v>73</v>
      </c>
      <c r="D39" s="483" t="s">
        <v>74</v>
      </c>
      <c r="E39" s="483" t="s">
        <v>75</v>
      </c>
      <c r="F39" s="483" t="s">
        <v>76</v>
      </c>
      <c r="G39" s="483" t="s">
        <v>200</v>
      </c>
      <c r="H39" s="605">
        <v>0.16200000000000001</v>
      </c>
    </row>
    <row r="40" spans="1:8" ht="16.5" customHeight="1">
      <c r="A40" s="586">
        <v>43</v>
      </c>
      <c r="B40" s="532">
        <f>'Statens skalatrin'!D133</f>
        <v>38482.33</v>
      </c>
      <c r="C40" s="532">
        <f>+'Statens skalatrin'!F133</f>
        <v>38482.33</v>
      </c>
      <c r="D40" s="532">
        <f>+'Statens skalatrin'!H133</f>
        <v>38482.33</v>
      </c>
      <c r="E40" s="532">
        <f>+'Statens skalatrin'!J133</f>
        <v>38482.33</v>
      </c>
      <c r="F40" s="532">
        <f>+'Statens skalatrin'!L133</f>
        <v>38482.33</v>
      </c>
      <c r="G40" s="532">
        <f>+'Statens skalatrin'!O133</f>
        <v>38482.300000000003</v>
      </c>
      <c r="H40" s="533">
        <f>ROUND(G40*$H$39,2)</f>
        <v>6234.13</v>
      </c>
    </row>
    <row r="41" spans="1:8" ht="15.75">
      <c r="A41" s="529">
        <v>44</v>
      </c>
      <c r="B41" s="530">
        <f>'Statens skalatrin'!D136</f>
        <v>39340.92</v>
      </c>
      <c r="C41" s="530">
        <f>+'Statens skalatrin'!F136</f>
        <v>39340.92</v>
      </c>
      <c r="D41" s="530">
        <f>+'Statens skalatrin'!H136</f>
        <v>39340.92</v>
      </c>
      <c r="E41" s="530">
        <f>+'Statens skalatrin'!J136</f>
        <v>39340.92</v>
      </c>
      <c r="F41" s="530">
        <f>+'Statens skalatrin'!L136</f>
        <v>39340.92</v>
      </c>
      <c r="G41" s="530">
        <f>+'Statens skalatrin'!O136</f>
        <v>39340.94</v>
      </c>
      <c r="H41" s="533">
        <f t="shared" ref="H41:H43" si="3">ROUND(G41*$H$39,2)</f>
        <v>6373.23</v>
      </c>
    </row>
    <row r="42" spans="1:8" ht="15.75">
      <c r="A42" s="529">
        <v>46</v>
      </c>
      <c r="B42" s="530">
        <f>'Statens skalatrin'!D142</f>
        <v>41130.080000000002</v>
      </c>
      <c r="C42" s="530">
        <f>+'Statens skalatrin'!F142</f>
        <v>41130.080000000002</v>
      </c>
      <c r="D42" s="530">
        <f>+'Statens skalatrin'!H142</f>
        <v>41130.080000000002</v>
      </c>
      <c r="E42" s="530">
        <f>+'Statens skalatrin'!J142</f>
        <v>41130.080000000002</v>
      </c>
      <c r="F42" s="530">
        <f>+'Statens skalatrin'!L142</f>
        <v>41130.080000000002</v>
      </c>
      <c r="G42" s="530">
        <f>+'Statens skalatrin'!O142</f>
        <v>41130.050000000003</v>
      </c>
      <c r="H42" s="533">
        <f t="shared" si="3"/>
        <v>6663.07</v>
      </c>
    </row>
    <row r="43" spans="1:8" ht="16.5" thickBot="1">
      <c r="A43" s="534">
        <v>48</v>
      </c>
      <c r="B43" s="604">
        <f>'Statens skalatrin'!D148</f>
        <v>45908.17</v>
      </c>
      <c r="C43" s="604">
        <f>+'Statens skalatrin'!F148</f>
        <v>45908.17</v>
      </c>
      <c r="D43" s="604">
        <f>+'Statens skalatrin'!H148</f>
        <v>45908.17</v>
      </c>
      <c r="E43" s="604">
        <f>+'Statens skalatrin'!J148</f>
        <v>45908.17</v>
      </c>
      <c r="F43" s="604">
        <f>+'Statens skalatrin'!L148</f>
        <v>45908.17</v>
      </c>
      <c r="G43" s="604">
        <f>+'Statens skalatrin'!O148</f>
        <v>45908.06</v>
      </c>
      <c r="H43" s="533">
        <f t="shared" si="3"/>
        <v>7437.11</v>
      </c>
    </row>
    <row r="44" spans="1:8" ht="15" customHeight="1" thickBot="1">
      <c r="A44" s="1327"/>
      <c r="B44" s="1327"/>
      <c r="C44" s="1327"/>
      <c r="D44" s="1327"/>
      <c r="E44" s="1327"/>
      <c r="F44" s="1327"/>
      <c r="G44" s="1327"/>
      <c r="H44" s="1327"/>
    </row>
    <row r="45" spans="1:8" ht="18">
      <c r="A45" s="944" t="s">
        <v>382</v>
      </c>
      <c r="B45" s="945"/>
      <c r="C45" s="945"/>
      <c r="D45" s="945"/>
      <c r="E45" s="945"/>
      <c r="F45" s="945"/>
      <c r="G45" s="945"/>
      <c r="H45" s="946"/>
    </row>
    <row r="46" spans="1:8" ht="26.1" customHeight="1" thickBot="1">
      <c r="A46" s="1261" t="s">
        <v>270</v>
      </c>
      <c r="B46" s="1262"/>
      <c r="C46" s="1262"/>
      <c r="D46" s="1262"/>
      <c r="E46" s="1262"/>
      <c r="F46" s="1262"/>
      <c r="G46" s="1262"/>
      <c r="H46" s="1263"/>
    </row>
    <row r="47" spans="1:8" ht="26.1" customHeight="1">
      <c r="A47" s="785"/>
      <c r="B47" s="786"/>
      <c r="C47" s="787"/>
      <c r="D47" s="1346" t="s">
        <v>128</v>
      </c>
      <c r="E47" s="1347"/>
      <c r="F47" s="1346" t="s">
        <v>292</v>
      </c>
      <c r="G47" s="1347"/>
      <c r="H47" s="600" t="s">
        <v>239</v>
      </c>
    </row>
    <row r="48" spans="1:8" ht="15.75" customHeight="1" thickBot="1">
      <c r="A48" s="788"/>
      <c r="B48" s="789"/>
      <c r="C48" s="790"/>
      <c r="D48" s="1348">
        <v>40999</v>
      </c>
      <c r="E48" s="1349"/>
      <c r="F48" s="1348" t="str">
        <f>'Løntabel gældende fra'!D1</f>
        <v>01/11/25</v>
      </c>
      <c r="G48" s="1349"/>
      <c r="H48" s="519" t="str">
        <f>'Løntabel gældende fra'!$D$1</f>
        <v>01/11/25</v>
      </c>
    </row>
    <row r="49" spans="1:8" ht="15" customHeight="1">
      <c r="A49" s="1243" t="s">
        <v>406</v>
      </c>
      <c r="B49" s="1244"/>
      <c r="C49" s="1245"/>
      <c r="D49" s="1238">
        <v>4500</v>
      </c>
      <c r="E49" s="1239"/>
      <c r="F49" s="1328">
        <f>ROUND(+D49*(1+'Løntabel gældende fra'!$D$7/100),2)</f>
        <v>5621.07</v>
      </c>
      <c r="G49" s="1329">
        <f>+E49*(1+'Løntabel gældende fra'!$D$7/100)</f>
        <v>0</v>
      </c>
      <c r="H49" s="791">
        <f>ROUND(F49/12,2)</f>
        <v>468.42</v>
      </c>
    </row>
    <row r="50" spans="1:8" ht="15" customHeight="1" thickBot="1">
      <c r="A50" s="1240" t="s">
        <v>412</v>
      </c>
      <c r="B50" s="1241"/>
      <c r="C50" s="1242"/>
      <c r="D50" s="1249">
        <v>4398</v>
      </c>
      <c r="E50" s="1250"/>
      <c r="F50" s="1277">
        <f>ROUND(+D50*(1+'Løntabel gældende fra'!$D$7/100),2)</f>
        <v>5493.66</v>
      </c>
      <c r="G50" s="1278">
        <f>+E50*(1+'Løntabel gældende fra'!$D$7/100)</f>
        <v>0</v>
      </c>
      <c r="H50" s="792">
        <f>ROUND(F50/12,2)</f>
        <v>457.81</v>
      </c>
    </row>
    <row r="51" spans="1:8" ht="15" customHeight="1" thickBot="1">
      <c r="A51" s="1354"/>
      <c r="B51" s="1355"/>
      <c r="C51" s="1355"/>
      <c r="D51" s="1355"/>
      <c r="E51" s="1355"/>
      <c r="F51" s="1355"/>
      <c r="G51" s="1355"/>
      <c r="H51" s="1356"/>
    </row>
    <row r="52" spans="1:8" ht="18">
      <c r="A52" s="944" t="s">
        <v>407</v>
      </c>
      <c r="B52" s="945"/>
      <c r="C52" s="945"/>
      <c r="D52" s="945"/>
      <c r="E52" s="945"/>
      <c r="F52" s="945"/>
      <c r="G52" s="945"/>
      <c r="H52" s="946"/>
    </row>
    <row r="53" spans="1:8" ht="26.1" customHeight="1" thickBot="1">
      <c r="A53" s="1261" t="s">
        <v>270</v>
      </c>
      <c r="B53" s="1262"/>
      <c r="C53" s="1262"/>
      <c r="D53" s="1262"/>
      <c r="E53" s="1262"/>
      <c r="F53" s="1262"/>
      <c r="G53" s="1262"/>
      <c r="H53" s="1263"/>
    </row>
    <row r="54" spans="1:8" ht="26.1" customHeight="1">
      <c r="A54" s="785"/>
      <c r="B54" s="786"/>
      <c r="C54" s="787"/>
      <c r="D54" s="1257" t="s">
        <v>128</v>
      </c>
      <c r="E54" s="1258"/>
      <c r="F54" s="1257" t="s">
        <v>292</v>
      </c>
      <c r="G54" s="1258"/>
      <c r="H54" s="600" t="s">
        <v>239</v>
      </c>
    </row>
    <row r="55" spans="1:8" ht="15.75" customHeight="1" thickBot="1">
      <c r="A55" s="788"/>
      <c r="B55" s="789"/>
      <c r="C55" s="790"/>
      <c r="D55" s="1273">
        <v>40999</v>
      </c>
      <c r="E55" s="1274"/>
      <c r="F55" s="1332" t="str">
        <f>'Løntabel gældende fra'!D1</f>
        <v>01/11/25</v>
      </c>
      <c r="G55" s="1274"/>
      <c r="H55" s="519" t="str">
        <f>'Løntabel gældende fra'!$D$1</f>
        <v>01/11/25</v>
      </c>
    </row>
    <row r="56" spans="1:8" ht="15" customHeight="1">
      <c r="A56" s="1243" t="s">
        <v>406</v>
      </c>
      <c r="B56" s="1244"/>
      <c r="C56" s="1245"/>
      <c r="D56" s="1330">
        <v>2000</v>
      </c>
      <c r="E56" s="1331"/>
      <c r="F56" s="1330">
        <f>ROUND(+D56*(1+'Løntabel gældende fra'!$D$7/100),2)</f>
        <v>2498.25</v>
      </c>
      <c r="G56" s="1331"/>
      <c r="H56" s="791">
        <f>ROUND(F56/12,2)</f>
        <v>208.19</v>
      </c>
    </row>
    <row r="57" spans="1:8" ht="15" customHeight="1" thickBot="1">
      <c r="A57" s="1246" t="s">
        <v>411</v>
      </c>
      <c r="B57" s="1247"/>
      <c r="C57" s="1248"/>
      <c r="D57" s="1249">
        <v>8018</v>
      </c>
      <c r="E57" s="1250"/>
      <c r="F57" s="1277">
        <f>ROUND(+D57*(1+'Løntabel gældende fra'!$D$7/100),2)</f>
        <v>10015.49</v>
      </c>
      <c r="G57" s="1278">
        <f>+E57*(1+'Løntabel gældende fra'!$D$7/100)</f>
        <v>0</v>
      </c>
      <c r="H57" s="792">
        <f>ROUND(F57/12,2)</f>
        <v>834.62</v>
      </c>
    </row>
    <row r="58" spans="1:8" ht="15" customHeight="1" thickBot="1">
      <c r="A58" s="853"/>
      <c r="B58" s="853"/>
      <c r="C58" s="853"/>
      <c r="D58" s="853"/>
      <c r="E58" s="853"/>
      <c r="F58" s="853"/>
      <c r="G58" s="853"/>
      <c r="H58" s="853"/>
    </row>
    <row r="59" spans="1:8" ht="18">
      <c r="A59" s="944" t="s">
        <v>419</v>
      </c>
      <c r="B59" s="945"/>
      <c r="C59" s="945"/>
      <c r="D59" s="945"/>
      <c r="E59" s="945"/>
      <c r="F59" s="945"/>
      <c r="G59" s="945"/>
      <c r="H59" s="946"/>
    </row>
    <row r="60" spans="1:8" ht="26.1" customHeight="1" thickBot="1">
      <c r="A60" s="1261" t="s">
        <v>270</v>
      </c>
      <c r="B60" s="1262"/>
      <c r="C60" s="1262"/>
      <c r="D60" s="1262"/>
      <c r="E60" s="1262"/>
      <c r="F60" s="1262"/>
      <c r="G60" s="1262"/>
      <c r="H60" s="1263"/>
    </row>
    <row r="61" spans="1:8" ht="26.1" customHeight="1">
      <c r="A61" s="1264" t="s">
        <v>408</v>
      </c>
      <c r="B61" s="1265"/>
      <c r="C61" s="1266"/>
      <c r="D61" s="1257" t="s">
        <v>128</v>
      </c>
      <c r="E61" s="1258"/>
      <c r="F61" s="1257" t="s">
        <v>292</v>
      </c>
      <c r="G61" s="1258"/>
      <c r="H61" s="600" t="s">
        <v>239</v>
      </c>
    </row>
    <row r="62" spans="1:8" ht="15.75" customHeight="1" thickBot="1">
      <c r="A62" s="1267"/>
      <c r="B62" s="1268"/>
      <c r="C62" s="1269"/>
      <c r="D62" s="1273">
        <v>40999</v>
      </c>
      <c r="E62" s="1274"/>
      <c r="F62" s="1332" t="str">
        <f>'Løntabel gældende fra'!$D$1</f>
        <v>01/11/25</v>
      </c>
      <c r="G62" s="1707" t="str">
        <f>'Løntabel gældende fra'!$D$1</f>
        <v>01/11/25</v>
      </c>
      <c r="H62" s="1708" t="str">
        <f>'Løntabel gældende fra'!$D$1</f>
        <v>01/11/25</v>
      </c>
    </row>
    <row r="63" spans="1:8" ht="15" customHeight="1" thickBot="1">
      <c r="A63" s="1270"/>
      <c r="B63" s="1271"/>
      <c r="C63" s="1272"/>
      <c r="D63" s="1275">
        <v>5500</v>
      </c>
      <c r="E63" s="1276"/>
      <c r="F63" s="1275">
        <f>ROUND(+D63*(1+'Løntabel gældende fra'!$D$7/100),2)</f>
        <v>6870.19</v>
      </c>
      <c r="G63" s="1276"/>
      <c r="H63" s="601">
        <f>ROUND(F63/12,2)</f>
        <v>572.52</v>
      </c>
    </row>
    <row r="64" spans="1:8" ht="15" customHeight="1" thickBot="1">
      <c r="A64" s="853"/>
      <c r="B64" s="853"/>
      <c r="C64" s="853"/>
      <c r="D64" s="853"/>
      <c r="E64" s="853"/>
      <c r="F64" s="853"/>
      <c r="G64" s="853"/>
      <c r="H64" s="853"/>
    </row>
    <row r="65" spans="1:8" ht="18">
      <c r="A65" s="944" t="s">
        <v>420</v>
      </c>
      <c r="B65" s="945"/>
      <c r="C65" s="945"/>
      <c r="D65" s="945"/>
      <c r="E65" s="945"/>
      <c r="F65" s="945"/>
      <c r="G65" s="945"/>
      <c r="H65" s="946"/>
    </row>
    <row r="66" spans="1:8" ht="26.1" customHeight="1" thickBot="1">
      <c r="A66" s="1261" t="s">
        <v>270</v>
      </c>
      <c r="B66" s="1262"/>
      <c r="C66" s="1262"/>
      <c r="D66" s="1262"/>
      <c r="E66" s="1262"/>
      <c r="F66" s="1262"/>
      <c r="G66" s="1262"/>
      <c r="H66" s="1263"/>
    </row>
    <row r="67" spans="1:8" ht="26.1" customHeight="1">
      <c r="A67" s="1264" t="s">
        <v>408</v>
      </c>
      <c r="B67" s="1265"/>
      <c r="C67" s="1266"/>
      <c r="D67" s="1257" t="s">
        <v>128</v>
      </c>
      <c r="E67" s="1258"/>
      <c r="F67" s="1257" t="s">
        <v>292</v>
      </c>
      <c r="G67" s="1258"/>
      <c r="H67" s="600" t="s">
        <v>239</v>
      </c>
    </row>
    <row r="68" spans="1:8" ht="15.75" customHeight="1" thickBot="1">
      <c r="A68" s="1267"/>
      <c r="B68" s="1268"/>
      <c r="C68" s="1269"/>
      <c r="D68" s="1273">
        <v>40999</v>
      </c>
      <c r="E68" s="1274"/>
      <c r="F68" s="1332" t="str">
        <f>'Løntabel gældende fra'!$D$1</f>
        <v>01/11/25</v>
      </c>
      <c r="G68" s="1333"/>
      <c r="H68" s="519" t="str">
        <f>'Løntabel gældende fra'!$D$1</f>
        <v>01/11/25</v>
      </c>
    </row>
    <row r="69" spans="1:8" ht="15" customHeight="1" thickBot="1">
      <c r="A69" s="1270"/>
      <c r="B69" s="1271"/>
      <c r="C69" s="1272"/>
      <c r="D69" s="1275">
        <v>4000</v>
      </c>
      <c r="E69" s="1276"/>
      <c r="F69" s="1275">
        <f>ROUND(+D69*(1+'Løntabel gældende fra'!$D$7/100),2)</f>
        <v>4996.5</v>
      </c>
      <c r="G69" s="1276"/>
      <c r="H69" s="601">
        <f>ROUND(F69/12,2)</f>
        <v>416.38</v>
      </c>
    </row>
    <row r="70" spans="1:8" ht="15" customHeight="1" thickBot="1">
      <c r="A70" s="853"/>
      <c r="B70" s="853"/>
      <c r="C70" s="853"/>
      <c r="D70" s="853"/>
      <c r="E70" s="853"/>
      <c r="F70" s="853"/>
      <c r="G70" s="853"/>
      <c r="H70" s="853"/>
    </row>
    <row r="71" spans="1:8" ht="18">
      <c r="A71" s="944" t="s">
        <v>192</v>
      </c>
      <c r="B71" s="945"/>
      <c r="C71" s="945"/>
      <c r="D71" s="945"/>
      <c r="E71" s="945"/>
      <c r="F71" s="945"/>
      <c r="G71" s="945"/>
      <c r="H71" s="946"/>
    </row>
    <row r="72" spans="1:8" ht="20.100000000000001" customHeight="1" thickBot="1">
      <c r="A72" s="999" t="s">
        <v>300</v>
      </c>
      <c r="B72" s="1000"/>
      <c r="C72" s="1000"/>
      <c r="D72" s="1000"/>
      <c r="E72" s="1000"/>
      <c r="F72" s="1000"/>
      <c r="G72" s="1000"/>
      <c r="H72" s="1001"/>
    </row>
    <row r="73" spans="1:8" ht="26.1" customHeight="1">
      <c r="A73" s="785"/>
      <c r="B73" s="786"/>
      <c r="C73" s="786"/>
      <c r="D73" s="1257" t="s">
        <v>128</v>
      </c>
      <c r="E73" s="1258"/>
      <c r="F73" s="1257" t="s">
        <v>292</v>
      </c>
      <c r="G73" s="1258"/>
      <c r="H73" s="600" t="s">
        <v>239</v>
      </c>
    </row>
    <row r="74" spans="1:8" ht="15" customHeight="1" thickBot="1">
      <c r="A74" s="793"/>
      <c r="B74" s="794"/>
      <c r="C74" s="794"/>
      <c r="D74" s="1273">
        <v>40999</v>
      </c>
      <c r="E74" s="1274"/>
      <c r="F74" s="1332" t="str">
        <f>'Løntabel gældende fra'!D1</f>
        <v>01/11/25</v>
      </c>
      <c r="G74" s="1274"/>
      <c r="H74" s="519" t="str">
        <f>'Løntabel gældende fra'!$D$1</f>
        <v>01/11/25</v>
      </c>
    </row>
    <row r="75" spans="1:8" ht="15" customHeight="1">
      <c r="A75" s="1251" t="s">
        <v>275</v>
      </c>
      <c r="B75" s="1252"/>
      <c r="C75" s="1253"/>
      <c r="D75" s="1307">
        <v>6480</v>
      </c>
      <c r="E75" s="1308"/>
      <c r="F75" s="1307">
        <f>ROUND(+D75*(1+'Løntabel gældende fra'!$D$7/100),2)</f>
        <v>8094.34</v>
      </c>
      <c r="G75" s="1308"/>
      <c r="H75" s="795">
        <f>ROUND(F75/12,2)</f>
        <v>674.53</v>
      </c>
    </row>
    <row r="76" spans="1:8" ht="15" customHeight="1">
      <c r="A76" s="1254" t="s">
        <v>389</v>
      </c>
      <c r="B76" s="1255"/>
      <c r="C76" s="1256"/>
      <c r="D76" s="1259">
        <v>6480</v>
      </c>
      <c r="E76" s="1260"/>
      <c r="F76" s="1259">
        <f>ROUND(+D76*(1+'Løntabel gældende fra'!$D$7/100),2)</f>
        <v>8094.34</v>
      </c>
      <c r="G76" s="1260"/>
      <c r="H76" s="796">
        <f>ROUND(F76/12,2)</f>
        <v>674.53</v>
      </c>
    </row>
    <row r="77" spans="1:8" ht="33" customHeight="1">
      <c r="A77" s="1254" t="s">
        <v>409</v>
      </c>
      <c r="B77" s="1255"/>
      <c r="C77" s="1256"/>
      <c r="D77" s="1259">
        <v>3240</v>
      </c>
      <c r="E77" s="1260"/>
      <c r="F77" s="1259">
        <f>ROUND(+D77*(1+'Løntabel gældende fra'!$D$7/100),2)</f>
        <v>4047.17</v>
      </c>
      <c r="G77" s="1260"/>
      <c r="H77" s="796">
        <f>ROUND(F77/12,2)</f>
        <v>337.26</v>
      </c>
    </row>
    <row r="78" spans="1:8" ht="33.950000000000003" customHeight="1" thickBot="1">
      <c r="A78" s="1365" t="s">
        <v>405</v>
      </c>
      <c r="B78" s="1366"/>
      <c r="C78" s="1367"/>
      <c r="D78" s="1249">
        <v>8000</v>
      </c>
      <c r="E78" s="1250"/>
      <c r="F78" s="1249">
        <f>ROUND(+D78*(1+'Løntabel gældende fra'!$D$7/100),2)</f>
        <v>9993.01</v>
      </c>
      <c r="G78" s="1250"/>
      <c r="H78" s="792">
        <f>ROUND(F78/12,2)</f>
        <v>832.75</v>
      </c>
    </row>
    <row r="79" spans="1:8" ht="20.100000000000001" customHeight="1" thickBot="1">
      <c r="A79" s="256"/>
      <c r="B79" s="256"/>
      <c r="C79" s="256"/>
      <c r="D79" s="256"/>
      <c r="E79" s="256"/>
      <c r="F79" s="244"/>
      <c r="G79" s="244"/>
      <c r="H79" s="592"/>
    </row>
    <row r="80" spans="1:8" ht="27" customHeight="1">
      <c r="A80" s="944" t="s">
        <v>268</v>
      </c>
      <c r="B80" s="945"/>
      <c r="C80" s="945"/>
      <c r="D80" s="945"/>
      <c r="E80" s="945"/>
      <c r="F80" s="945"/>
      <c r="G80" s="945"/>
      <c r="H80" s="946"/>
    </row>
    <row r="81" spans="1:8" ht="20.100000000000001" customHeight="1" thickBot="1">
      <c r="A81" s="999" t="s">
        <v>266</v>
      </c>
      <c r="B81" s="1000"/>
      <c r="C81" s="1000"/>
      <c r="D81" s="1000"/>
      <c r="E81" s="1000"/>
      <c r="F81" s="1000"/>
      <c r="G81" s="1000"/>
      <c r="H81" s="1001"/>
    </row>
    <row r="82" spans="1:8" ht="20.100000000000001" customHeight="1">
      <c r="A82" s="597"/>
      <c r="B82" s="598"/>
      <c r="C82" s="598"/>
      <c r="D82" s="598"/>
      <c r="E82" s="598"/>
      <c r="F82" s="598"/>
      <c r="G82" s="600" t="s">
        <v>95</v>
      </c>
      <c r="H82" s="599" t="s">
        <v>100</v>
      </c>
    </row>
    <row r="83" spans="1:8" ht="15" customHeight="1" thickBot="1">
      <c r="A83" s="595"/>
      <c r="B83" s="596"/>
      <c r="C83" s="596"/>
      <c r="D83" s="596"/>
      <c r="E83" s="596"/>
      <c r="F83" s="596"/>
      <c r="G83" s="519">
        <v>40999</v>
      </c>
      <c r="H83" s="535" t="str">
        <f>'Løntabel gældende fra'!$D$1</f>
        <v>01/11/25</v>
      </c>
    </row>
    <row r="84" spans="1:8" s="225" customFormat="1" ht="15.75" customHeight="1">
      <c r="A84" s="1361" t="s">
        <v>189</v>
      </c>
      <c r="B84" s="1362"/>
      <c r="C84" s="1362"/>
      <c r="D84" s="1362"/>
      <c r="E84" s="1362"/>
      <c r="F84" s="774" t="s">
        <v>162</v>
      </c>
      <c r="G84" s="775">
        <v>22.32</v>
      </c>
      <c r="H84" s="776">
        <f>ROUND(G84+G84*'Løntabel gældende fra'!$D$7%,2)</f>
        <v>27.88</v>
      </c>
    </row>
    <row r="85" spans="1:8" ht="16.5" customHeight="1">
      <c r="A85" s="1323" t="s">
        <v>379</v>
      </c>
      <c r="B85" s="1324"/>
      <c r="C85" s="1324"/>
      <c r="D85" s="1324"/>
      <c r="E85" s="1324"/>
      <c r="F85" s="1268" t="s">
        <v>162</v>
      </c>
      <c r="G85" s="1321">
        <v>39.92</v>
      </c>
      <c r="H85" s="1314">
        <f>ROUND(G85+G85*'Løntabel gældende fra'!$D$7%,2)</f>
        <v>49.87</v>
      </c>
    </row>
    <row r="86" spans="1:8" ht="15.95" customHeight="1">
      <c r="A86" s="1325"/>
      <c r="B86" s="1326"/>
      <c r="C86" s="1326"/>
      <c r="D86" s="1326"/>
      <c r="E86" s="1326"/>
      <c r="F86" s="1244"/>
      <c r="G86" s="1322"/>
      <c r="H86" s="1315"/>
    </row>
    <row r="87" spans="1:8" s="225" customFormat="1" ht="15.75">
      <c r="A87" s="1357" t="s">
        <v>161</v>
      </c>
      <c r="B87" s="1358"/>
      <c r="C87" s="1358"/>
      <c r="D87" s="1358"/>
      <c r="E87" s="1358"/>
      <c r="F87" s="593" t="s">
        <v>162</v>
      </c>
      <c r="G87" s="518">
        <v>39.92</v>
      </c>
      <c r="H87" s="537">
        <f>ROUND(G87+G87*'Løntabel gældende fra'!$D$7%,2)</f>
        <v>49.87</v>
      </c>
    </row>
    <row r="88" spans="1:8" ht="15.95" customHeight="1">
      <c r="A88" s="1363" t="s">
        <v>201</v>
      </c>
      <c r="B88" s="1364"/>
      <c r="C88" s="1364"/>
      <c r="D88" s="1364"/>
      <c r="E88" s="1364"/>
      <c r="F88" s="591" t="s">
        <v>162</v>
      </c>
      <c r="G88" s="518">
        <v>39.92</v>
      </c>
      <c r="H88" s="537">
        <f>ROUND(G88+G88*'Løntabel gældende fra'!$D$7%,2)</f>
        <v>49.87</v>
      </c>
    </row>
    <row r="89" spans="1:8" ht="15.75">
      <c r="A89" s="1357" t="s">
        <v>312</v>
      </c>
      <c r="B89" s="1358"/>
      <c r="C89" s="1358"/>
      <c r="D89" s="1358"/>
      <c r="E89" s="1358"/>
      <c r="F89" s="593" t="s">
        <v>163</v>
      </c>
      <c r="G89" s="518">
        <v>39.92</v>
      </c>
      <c r="H89" s="537">
        <f>ROUND(G89+G89*'Løntabel gældende fra'!$D$7%,2)</f>
        <v>49.87</v>
      </c>
    </row>
    <row r="90" spans="1:8" ht="15.75">
      <c r="A90" s="1357" t="s">
        <v>313</v>
      </c>
      <c r="B90" s="1358"/>
      <c r="C90" s="1358"/>
      <c r="D90" s="1358"/>
      <c r="E90" s="1358"/>
      <c r="F90" s="593" t="s">
        <v>163</v>
      </c>
      <c r="G90" s="518">
        <v>91.84</v>
      </c>
      <c r="H90" s="537">
        <f>ROUND(G90+G90*'Løntabel gældende fra'!$D$7%,2)</f>
        <v>114.72</v>
      </c>
    </row>
    <row r="91" spans="1:8" ht="16.5" thickBot="1">
      <c r="A91" s="1359" t="s">
        <v>314</v>
      </c>
      <c r="B91" s="1360"/>
      <c r="C91" s="1360"/>
      <c r="D91" s="1360"/>
      <c r="E91" s="1360"/>
      <c r="F91" s="594" t="s">
        <v>162</v>
      </c>
      <c r="G91" s="517">
        <v>39.92</v>
      </c>
      <c r="H91" s="536">
        <f>ROUND(G91+G91*'Løntabel gældende fra'!$D$7%,2)</f>
        <v>49.87</v>
      </c>
    </row>
    <row r="92" spans="1:8" ht="15.75" thickBot="1">
      <c r="A92" s="256"/>
      <c r="B92" s="256"/>
      <c r="C92" s="256"/>
      <c r="D92" s="256"/>
      <c r="E92" s="256"/>
      <c r="F92" s="244"/>
      <c r="G92" s="244"/>
    </row>
    <row r="93" spans="1:8" ht="27" customHeight="1" thickBot="1">
      <c r="A93" s="1350" t="s">
        <v>352</v>
      </c>
      <c r="B93" s="1351"/>
      <c r="C93" s="1351"/>
      <c r="D93" s="1351"/>
      <c r="E93" s="1351"/>
      <c r="F93" s="1351"/>
      <c r="G93" s="1351"/>
      <c r="H93" s="1352"/>
    </row>
    <row r="94" spans="1:8" ht="15.75">
      <c r="A94" s="1301" t="s">
        <v>159</v>
      </c>
      <c r="B94" s="1302"/>
      <c r="C94" s="1302"/>
      <c r="D94" s="1303"/>
      <c r="E94" s="1353" t="s">
        <v>293</v>
      </c>
      <c r="F94" s="1353"/>
      <c r="G94" s="1283" t="s">
        <v>294</v>
      </c>
      <c r="H94" s="1284"/>
    </row>
    <row r="95" spans="1:8" ht="12.95" customHeight="1" thickBot="1">
      <c r="A95" s="1304"/>
      <c r="B95" s="1305"/>
      <c r="C95" s="1305"/>
      <c r="D95" s="1306"/>
      <c r="E95" s="1290">
        <v>40999</v>
      </c>
      <c r="F95" s="1291"/>
      <c r="G95" s="1281" t="str">
        <f>'Løntabel gældende fra'!$D$1</f>
        <v>01/11/25</v>
      </c>
      <c r="H95" s="1282"/>
    </row>
    <row r="96" spans="1:8" ht="15" customHeight="1">
      <c r="A96" s="1298" t="s">
        <v>371</v>
      </c>
      <c r="B96" s="1299"/>
      <c r="C96" s="1299"/>
      <c r="D96" s="1300"/>
      <c r="E96" s="1288">
        <v>138.5</v>
      </c>
      <c r="F96" s="1289"/>
      <c r="G96" s="1288">
        <f>ROUND(+E96*(1+'Løntabel gældende fra'!$D$7/100),2)</f>
        <v>173</v>
      </c>
      <c r="H96" s="1289"/>
    </row>
    <row r="97" spans="1:8" ht="15" customHeight="1">
      <c r="A97" s="804" t="s">
        <v>372</v>
      </c>
      <c r="B97" s="805"/>
      <c r="C97" s="805"/>
      <c r="D97" s="806"/>
      <c r="E97" s="1309">
        <v>164</v>
      </c>
      <c r="F97" s="1310"/>
      <c r="G97" s="1309">
        <f>ROUND(+E97*(1+'Løntabel gældende fra'!$D$7/100),2)</f>
        <v>204.86</v>
      </c>
      <c r="H97" s="1310"/>
    </row>
    <row r="98" spans="1:8" ht="16.5" thickBot="1">
      <c r="A98" s="1292" t="s">
        <v>212</v>
      </c>
      <c r="B98" s="1293"/>
      <c r="C98" s="1293"/>
      <c r="D98" s="1294"/>
      <c r="E98" s="1279">
        <v>185</v>
      </c>
      <c r="F98" s="1280"/>
      <c r="G98" s="1279">
        <f>ROUND(+E98*(1+'Løntabel gældende fra'!$D$7/100),2)</f>
        <v>231.09</v>
      </c>
      <c r="H98" s="1280"/>
    </row>
    <row r="99" spans="1:8" ht="15.75" thickBot="1">
      <c r="A99" s="40"/>
      <c r="B99" s="40"/>
      <c r="C99" s="40"/>
      <c r="D99" s="218"/>
      <c r="E99" s="218"/>
      <c r="F99" s="218"/>
      <c r="G99" s="218"/>
    </row>
    <row r="100" spans="1:8" ht="18.75" thickBot="1">
      <c r="A100" s="1285" t="str">
        <f>"Unge under 18 år, pr. arbejdstime (60 minutter) pr. "&amp;'Løntabel gældende fra'!D1&amp;""</f>
        <v>Unge under 18 år, pr. arbejdstime (60 minutter) pr. 01/11/25</v>
      </c>
      <c r="B100" s="1286"/>
      <c r="C100" s="1286"/>
      <c r="D100" s="1286"/>
      <c r="E100" s="1286"/>
      <c r="F100" s="1287"/>
    </row>
    <row r="101" spans="1:8" ht="18.95" customHeight="1" thickBot="1">
      <c r="A101" s="538" t="s">
        <v>154</v>
      </c>
      <c r="B101" s="539" t="s">
        <v>72</v>
      </c>
      <c r="C101" s="539" t="s">
        <v>73</v>
      </c>
      <c r="D101" s="539" t="s">
        <v>74</v>
      </c>
      <c r="E101" s="539" t="s">
        <v>75</v>
      </c>
      <c r="F101" s="540" t="s">
        <v>76</v>
      </c>
    </row>
    <row r="102" spans="1:8" ht="15.75">
      <c r="A102" s="586" t="s">
        <v>155</v>
      </c>
      <c r="B102" s="541">
        <f>0.66*B10/160.33</f>
        <v>100.5882729370673</v>
      </c>
      <c r="C102" s="542">
        <f>0.66*C10/160.33</f>
        <v>102.72305370174014</v>
      </c>
      <c r="D102" s="542">
        <f>0.66*D10/160.33</f>
        <v>104.201210004366</v>
      </c>
      <c r="E102" s="542">
        <f>0.66*E10/160.33</f>
        <v>106.33562028316597</v>
      </c>
      <c r="F102" s="543">
        <f>0.66*F10/160.33</f>
        <v>107.81414707166468</v>
      </c>
    </row>
    <row r="103" spans="1:8" ht="16.5" thickBot="1">
      <c r="A103" s="534" t="s">
        <v>156</v>
      </c>
      <c r="B103" s="544">
        <f>0.74*B10/160.33</f>
        <v>112.78079086883304</v>
      </c>
      <c r="C103" s="545">
        <f>0.74*C10/160.33</f>
        <v>115.17433293831472</v>
      </c>
      <c r="D103" s="545">
        <f>0.74*D10/160.33</f>
        <v>116.83165970186489</v>
      </c>
      <c r="E103" s="545">
        <f>0.74*E10/160.33</f>
        <v>119.22478637809517</v>
      </c>
      <c r="F103" s="546">
        <f>0.74*F10/160.33</f>
        <v>120.88252853489676</v>
      </c>
    </row>
    <row r="104" spans="1:8" ht="15.75" thickBot="1">
      <c r="A104" s="226"/>
      <c r="B104" s="227"/>
      <c r="C104" s="227"/>
      <c r="D104" s="227"/>
      <c r="E104" s="227"/>
      <c r="F104" s="227"/>
    </row>
    <row r="105" spans="1:8" ht="16.5" customHeight="1" thickBot="1">
      <c r="A105" s="1350" t="s">
        <v>157</v>
      </c>
      <c r="B105" s="1351"/>
      <c r="C105" s="1351"/>
      <c r="D105" s="1351"/>
      <c r="E105" s="1351"/>
      <c r="F105" s="1351"/>
      <c r="G105" s="1352"/>
    </row>
    <row r="106" spans="1:8" ht="18.75" customHeight="1">
      <c r="A106" s="1301" t="s">
        <v>158</v>
      </c>
      <c r="B106" s="1302"/>
      <c r="C106" s="1303"/>
      <c r="D106" s="1283" t="s">
        <v>98</v>
      </c>
      <c r="E106" s="1284"/>
      <c r="F106" s="1283" t="s">
        <v>239</v>
      </c>
      <c r="G106" s="1284"/>
    </row>
    <row r="107" spans="1:8" ht="16.5" thickBot="1">
      <c r="A107" s="1304"/>
      <c r="B107" s="1305"/>
      <c r="C107" s="1306"/>
      <c r="D107" s="1281">
        <v>40999</v>
      </c>
      <c r="E107" s="1297"/>
      <c r="F107" s="1281" t="str">
        <f>'Løntabel gældende fra'!$D$1</f>
        <v>01/11/25</v>
      </c>
      <c r="G107" s="1282"/>
    </row>
    <row r="108" spans="1:8" ht="15.75">
      <c r="A108" s="1298" t="s">
        <v>429</v>
      </c>
      <c r="B108" s="1299"/>
      <c r="C108" s="1300"/>
      <c r="D108" s="1345">
        <v>11049</v>
      </c>
      <c r="E108" s="1289"/>
      <c r="F108" s="1288">
        <f>ROUND(+D108*(1+'Løntabel gældende fra'!$D$7/100),2)</f>
        <v>13801.59</v>
      </c>
      <c r="G108" s="1289">
        <f>+E108*(1+'Løntabel gældende fra'!$D$7/100)</f>
        <v>0</v>
      </c>
    </row>
    <row r="109" spans="1:8" ht="16.5" thickBot="1">
      <c r="A109" s="1292" t="s">
        <v>428</v>
      </c>
      <c r="B109" s="1293"/>
      <c r="C109" s="1294"/>
      <c r="D109" s="1295">
        <v>11384</v>
      </c>
      <c r="E109" s="1296"/>
      <c r="F109" s="1279">
        <f>ROUND(+D109*(1+'Løntabel gældende fra'!$D$7/100),2)</f>
        <v>14220.05</v>
      </c>
      <c r="G109" s="1280">
        <f>+E109*(1+'Løntabel gældende fra'!$D$7/100)</f>
        <v>0</v>
      </c>
    </row>
    <row r="110" spans="1:8" ht="15.75">
      <c r="A110" s="547"/>
      <c r="B110" s="548"/>
      <c r="C110" s="548"/>
      <c r="D110" s="548"/>
      <c r="E110" s="548"/>
      <c r="F110" s="548"/>
      <c r="G110" s="549"/>
      <c r="H110" s="224"/>
    </row>
    <row r="111" spans="1:8">
      <c r="F111" s="224"/>
    </row>
    <row r="112" spans="1:8">
      <c r="A112" s="233"/>
      <c r="B112" s="233"/>
      <c r="C112" s="233"/>
      <c r="H112" s="225"/>
    </row>
    <row r="113" spans="1:7">
      <c r="A113" s="225"/>
      <c r="B113" s="225"/>
      <c r="C113" s="225"/>
      <c r="D113" s="225"/>
      <c r="E113" s="225"/>
      <c r="F113" s="225"/>
      <c r="G113" s="225"/>
    </row>
  </sheetData>
  <mergeCells count="113">
    <mergeCell ref="A61:C63"/>
    <mergeCell ref="D61:E61"/>
    <mergeCell ref="F61:G61"/>
    <mergeCell ref="D62:E62"/>
    <mergeCell ref="F62:G62"/>
    <mergeCell ref="D63:E63"/>
    <mergeCell ref="F63:G63"/>
    <mergeCell ref="A90:E90"/>
    <mergeCell ref="A91:E91"/>
    <mergeCell ref="A84:E84"/>
    <mergeCell ref="A87:E87"/>
    <mergeCell ref="A88:E88"/>
    <mergeCell ref="A89:E89"/>
    <mergeCell ref="A78:C78"/>
    <mergeCell ref="D78:E78"/>
    <mergeCell ref="F78:G78"/>
    <mergeCell ref="D74:E74"/>
    <mergeCell ref="A1:H1"/>
    <mergeCell ref="A2:H2"/>
    <mergeCell ref="A3:H3"/>
    <mergeCell ref="G37:H37"/>
    <mergeCell ref="A5:F5"/>
    <mergeCell ref="A37:F37"/>
    <mergeCell ref="D108:E108"/>
    <mergeCell ref="F108:G108"/>
    <mergeCell ref="D47:E47"/>
    <mergeCell ref="F47:G47"/>
    <mergeCell ref="D48:E48"/>
    <mergeCell ref="F48:G48"/>
    <mergeCell ref="A105:G105"/>
    <mergeCell ref="D50:E50"/>
    <mergeCell ref="F50:G50"/>
    <mergeCell ref="A80:H80"/>
    <mergeCell ref="F85:F86"/>
    <mergeCell ref="A106:C107"/>
    <mergeCell ref="D106:E106"/>
    <mergeCell ref="E94:F94"/>
    <mergeCell ref="A93:H93"/>
    <mergeCell ref="G94:H94"/>
    <mergeCell ref="D75:E75"/>
    <mergeCell ref="A51:H51"/>
    <mergeCell ref="A38:H38"/>
    <mergeCell ref="H85:H86"/>
    <mergeCell ref="A6:H6"/>
    <mergeCell ref="G5:H5"/>
    <mergeCell ref="A45:H45"/>
    <mergeCell ref="A46:H46"/>
    <mergeCell ref="G85:G86"/>
    <mergeCell ref="A71:H71"/>
    <mergeCell ref="A72:H72"/>
    <mergeCell ref="A81:H81"/>
    <mergeCell ref="A85:E86"/>
    <mergeCell ref="A44:H44"/>
    <mergeCell ref="F49:G49"/>
    <mergeCell ref="A64:H64"/>
    <mergeCell ref="F56:G56"/>
    <mergeCell ref="A52:H52"/>
    <mergeCell ref="A53:H53"/>
    <mergeCell ref="D54:E54"/>
    <mergeCell ref="F54:G54"/>
    <mergeCell ref="D55:E55"/>
    <mergeCell ref="F55:G55"/>
    <mergeCell ref="D56:E56"/>
    <mergeCell ref="F74:G74"/>
    <mergeCell ref="F68:G68"/>
    <mergeCell ref="F57:G57"/>
    <mergeCell ref="F109:G109"/>
    <mergeCell ref="F107:G107"/>
    <mergeCell ref="F106:G106"/>
    <mergeCell ref="A100:F100"/>
    <mergeCell ref="G95:H95"/>
    <mergeCell ref="G96:H96"/>
    <mergeCell ref="G98:H98"/>
    <mergeCell ref="E95:F95"/>
    <mergeCell ref="E96:F96"/>
    <mergeCell ref="E98:F98"/>
    <mergeCell ref="A109:C109"/>
    <mergeCell ref="D109:E109"/>
    <mergeCell ref="D107:E107"/>
    <mergeCell ref="A108:C108"/>
    <mergeCell ref="A94:D95"/>
    <mergeCell ref="A98:D98"/>
    <mergeCell ref="A96:D96"/>
    <mergeCell ref="F75:G75"/>
    <mergeCell ref="A58:H58"/>
    <mergeCell ref="G97:H97"/>
    <mergeCell ref="E97:F97"/>
    <mergeCell ref="A59:H59"/>
    <mergeCell ref="A60:H60"/>
    <mergeCell ref="D49:E49"/>
    <mergeCell ref="A50:C50"/>
    <mergeCell ref="A49:C49"/>
    <mergeCell ref="A57:C57"/>
    <mergeCell ref="D57:E57"/>
    <mergeCell ref="A75:C75"/>
    <mergeCell ref="A76:C76"/>
    <mergeCell ref="A77:C77"/>
    <mergeCell ref="D73:E73"/>
    <mergeCell ref="D76:E76"/>
    <mergeCell ref="A70:H70"/>
    <mergeCell ref="A56:C56"/>
    <mergeCell ref="A65:H65"/>
    <mergeCell ref="A66:H66"/>
    <mergeCell ref="A67:C69"/>
    <mergeCell ref="D67:E67"/>
    <mergeCell ref="F67:G67"/>
    <mergeCell ref="D68:E68"/>
    <mergeCell ref="D69:E69"/>
    <mergeCell ref="F69:G69"/>
    <mergeCell ref="F76:G76"/>
    <mergeCell ref="D77:E77"/>
    <mergeCell ref="F77:G77"/>
    <mergeCell ref="F73:G73"/>
  </mergeCells>
  <phoneticPr fontId="7" type="noConversion"/>
  <pageMargins left="0.7" right="0.7" top="0.75" bottom="0.75" header="0.3" footer="0.3"/>
  <pageSetup paperSize="9" scale="63" fitToHeight="2" orientation="portrait" r:id="rId1"/>
  <headerFooter alignWithMargins="0">
    <oddFooter>&amp;C&amp;"Times New Roman,Normal"&amp;8&amp;K000000Løntabel BUPL/Aftaleenheden.&amp;R&amp;"Times New Roman,Normal"&amp;8&amp;K000000&amp;Paf i alt &amp;N</oddFooter>
  </headerFooter>
  <rowBreaks count="1" manualBreakCount="1">
    <brk id="6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view="pageBreakPreview" zoomScaleNormal="125" zoomScaleSheetLayoutView="100" zoomScalePageLayoutView="125" workbookViewId="0">
      <selection activeCell="H12" sqref="H12"/>
    </sheetView>
  </sheetViews>
  <sheetFormatPr defaultColWidth="8.85546875" defaultRowHeight="12.75"/>
  <cols>
    <col min="1" max="1" width="9" style="207" customWidth="1"/>
    <col min="2" max="3" width="11.140625" style="207" customWidth="1"/>
    <col min="4" max="4" width="11.28515625" style="207" customWidth="1"/>
    <col min="5" max="6" width="10.7109375" style="207" customWidth="1"/>
    <col min="7" max="7" width="10.140625" style="207" customWidth="1"/>
    <col min="8" max="8" width="10.85546875" style="207" customWidth="1"/>
    <col min="9" max="9" width="11.140625" style="207" customWidth="1"/>
    <col min="10" max="10" width="9.140625" style="207" customWidth="1"/>
    <col min="11" max="16384" width="8.85546875" style="207"/>
  </cols>
  <sheetData>
    <row r="1" spans="1:16" ht="20.25">
      <c r="A1" s="1053" t="s">
        <v>19</v>
      </c>
      <c r="B1" s="1054"/>
      <c r="C1" s="1054"/>
      <c r="D1" s="1054"/>
      <c r="E1" s="1054"/>
      <c r="F1" s="1054"/>
      <c r="G1" s="1054"/>
      <c r="H1" s="1054"/>
      <c r="I1" s="1054"/>
      <c r="J1" s="1055"/>
    </row>
    <row r="2" spans="1:16" ht="20.25">
      <c r="A2" s="1391" t="s">
        <v>186</v>
      </c>
      <c r="B2" s="1392"/>
      <c r="C2" s="1392"/>
      <c r="D2" s="1392"/>
      <c r="E2" s="1392"/>
      <c r="F2" s="1392"/>
      <c r="G2" s="1392"/>
      <c r="H2" s="1392"/>
      <c r="I2" s="1392"/>
      <c r="J2" s="1393"/>
    </row>
    <row r="3" spans="1:16" ht="21" thickBot="1">
      <c r="A3" s="1334" t="s">
        <v>190</v>
      </c>
      <c r="B3" s="1335"/>
      <c r="C3" s="1335"/>
      <c r="D3" s="1335"/>
      <c r="E3" s="1335"/>
      <c r="F3" s="1335"/>
      <c r="G3" s="1335"/>
      <c r="H3" s="1335"/>
      <c r="I3" s="1335"/>
      <c r="J3" s="1336"/>
    </row>
    <row r="4" spans="1:16" ht="22.5">
      <c r="A4" s="1397"/>
      <c r="B4" s="1398"/>
      <c r="C4" s="1398"/>
      <c r="D4" s="1398"/>
      <c r="E4" s="1398"/>
      <c r="F4" s="1398"/>
      <c r="G4" s="1398"/>
      <c r="H4" s="1398"/>
      <c r="I4" s="1398"/>
      <c r="J4" s="223"/>
    </row>
    <row r="5" spans="1:16" ht="47.25" customHeight="1">
      <c r="A5" s="833" t="s">
        <v>203</v>
      </c>
      <c r="B5" s="834"/>
      <c r="C5" s="834"/>
      <c r="D5" s="834"/>
      <c r="E5" s="834"/>
      <c r="F5" s="834"/>
      <c r="G5" s="834"/>
      <c r="H5" s="834"/>
      <c r="I5" s="834"/>
      <c r="J5" s="223"/>
    </row>
    <row r="6" spans="1:16" ht="8.1" customHeight="1">
      <c r="A6" s="247"/>
      <c r="B6" s="247"/>
      <c r="C6" s="247"/>
      <c r="D6" s="247"/>
      <c r="E6" s="247"/>
      <c r="F6" s="247"/>
      <c r="G6" s="247"/>
      <c r="H6" s="247"/>
      <c r="I6" s="247"/>
      <c r="J6" s="223"/>
      <c r="L6" s="234"/>
      <c r="M6" s="233"/>
      <c r="N6" s="233"/>
      <c r="O6" s="233"/>
      <c r="P6" s="233"/>
    </row>
    <row r="7" spans="1:16" ht="18" customHeight="1" thickBot="1">
      <c r="A7" s="247"/>
      <c r="B7" s="247"/>
      <c r="C7" s="247"/>
      <c r="D7" s="247"/>
      <c r="E7" s="247"/>
      <c r="F7" s="247"/>
      <c r="G7" s="247"/>
      <c r="H7" s="247"/>
      <c r="I7" s="247"/>
      <c r="J7" s="223"/>
      <c r="L7" s="234"/>
      <c r="M7" s="233"/>
      <c r="N7" s="233"/>
      <c r="O7" s="233"/>
      <c r="P7" s="233"/>
    </row>
    <row r="8" spans="1:16" ht="18.75" thickBot="1">
      <c r="A8" s="1394" t="s">
        <v>15</v>
      </c>
      <c r="B8" s="1395"/>
      <c r="C8" s="1395"/>
      <c r="D8" s="1395"/>
      <c r="E8" s="1395"/>
      <c r="F8" s="1396"/>
      <c r="G8" s="1285" t="s">
        <v>165</v>
      </c>
      <c r="H8" s="1286"/>
      <c r="I8" s="1286"/>
      <c r="J8" s="1287"/>
      <c r="L8" s="234"/>
      <c r="M8" s="233"/>
      <c r="N8" s="233"/>
      <c r="O8" s="233"/>
      <c r="P8" s="233"/>
    </row>
    <row r="9" spans="1:16" ht="38.25">
      <c r="A9" s="422" t="s">
        <v>57</v>
      </c>
      <c r="B9" s="422" t="s">
        <v>72</v>
      </c>
      <c r="C9" s="425" t="s">
        <v>73</v>
      </c>
      <c r="D9" s="422" t="s">
        <v>74</v>
      </c>
      <c r="E9" s="422" t="s">
        <v>75</v>
      </c>
      <c r="F9" s="422" t="s">
        <v>76</v>
      </c>
      <c r="G9" s="426" t="s">
        <v>182</v>
      </c>
      <c r="H9" s="427" t="s">
        <v>183</v>
      </c>
      <c r="I9" s="427" t="s">
        <v>184</v>
      </c>
      <c r="J9" s="428">
        <v>0.14000000000000001</v>
      </c>
    </row>
    <row r="10" spans="1:16" ht="15" customHeight="1">
      <c r="A10" s="339" t="s">
        <v>195</v>
      </c>
      <c r="B10" s="273">
        <f>+'Statens skalatrin'!D46+F24/12</f>
        <v>23896.63163183333</v>
      </c>
      <c r="C10" s="274">
        <f>+'Statens skalatrin'!F46+F24/12</f>
        <v>24390.041631833334</v>
      </c>
      <c r="D10" s="275">
        <f>+'Statens skalatrin'!H46+F24/12</f>
        <v>24731.541631833334</v>
      </c>
      <c r="E10" s="273">
        <f>+'Statens skalatrin'!J46+F24/12</f>
        <v>25224.88163183333</v>
      </c>
      <c r="F10" s="273">
        <f>+'Statens skalatrin'!L46+F24/12</f>
        <v>25566.38163183333</v>
      </c>
      <c r="G10" s="276">
        <f>+'Statens skalatrin'!O46+F24/12</f>
        <v>22355.841631833333</v>
      </c>
      <c r="H10" s="277">
        <f>J10*1/3</f>
        <v>1043.2726094855557</v>
      </c>
      <c r="I10" s="278">
        <f>J10*2/3</f>
        <v>2086.5452189711114</v>
      </c>
      <c r="J10" s="278">
        <f>G10*$J$9</f>
        <v>3129.817828456667</v>
      </c>
    </row>
    <row r="11" spans="1:16" ht="15" customHeight="1">
      <c r="A11" s="285">
        <v>17</v>
      </c>
      <c r="B11" s="273">
        <f>+'Statens skalatrin'!D55</f>
        <v>24878.92</v>
      </c>
      <c r="C11" s="274">
        <f>+'Statens skalatrin'!F55</f>
        <v>25410.75</v>
      </c>
      <c r="D11" s="275">
        <f>+'Statens skalatrin'!H55</f>
        <v>25778.92</v>
      </c>
      <c r="E11" s="273">
        <f>'Statens skalatrin'!J55</f>
        <v>26310.67</v>
      </c>
      <c r="F11" s="273">
        <f>+'Statens skalatrin'!L55</f>
        <v>26678.58</v>
      </c>
      <c r="G11" s="276">
        <f>+'Statens skalatrin'!O55</f>
        <v>23366.37</v>
      </c>
      <c r="H11" s="277">
        <f>J11*1/3</f>
        <v>1090.4305999999999</v>
      </c>
      <c r="I11" s="278">
        <f>J11*2/3</f>
        <v>2180.8611999999998</v>
      </c>
      <c r="J11" s="278">
        <f>G11*$J$9</f>
        <v>3271.2918</v>
      </c>
    </row>
    <row r="12" spans="1:16" ht="17.100000000000001" customHeight="1" thickBot="1">
      <c r="A12" s="286" t="s">
        <v>166</v>
      </c>
      <c r="B12" s="279">
        <f>+'Statens skalatrin'!D64+F25/12</f>
        <v>26086.667983666666</v>
      </c>
      <c r="C12" s="280">
        <f>+'Statens skalatrin'!F64+F25/12</f>
        <v>26659.917983666666</v>
      </c>
      <c r="D12" s="281">
        <f>+'Statens skalatrin'!H64+F25/12</f>
        <v>27056.917983666666</v>
      </c>
      <c r="E12" s="279">
        <f>+'Statens skalatrin'!J64+F25/12</f>
        <v>27630.247983666668</v>
      </c>
      <c r="F12" s="279">
        <f>+'Statens skalatrin'!L64+F25/12</f>
        <v>28027.087983666665</v>
      </c>
      <c r="G12" s="282">
        <f>+'Statens skalatrin'!O64+F25/12</f>
        <v>24741.397983666666</v>
      </c>
      <c r="H12" s="283">
        <f>J12*1/3</f>
        <v>1154.5985725711112</v>
      </c>
      <c r="I12" s="284">
        <f>J12*2/3</f>
        <v>2309.1971451422223</v>
      </c>
      <c r="J12" s="284">
        <f>G12*$J$9</f>
        <v>3463.7957177133335</v>
      </c>
    </row>
    <row r="13" spans="1:16" ht="17.100000000000001" customHeight="1">
      <c r="A13" s="233" t="s">
        <v>204</v>
      </c>
      <c r="B13" s="227"/>
      <c r="C13" s="227"/>
      <c r="D13" s="227"/>
      <c r="E13" s="227"/>
      <c r="F13" s="227"/>
      <c r="G13" s="250"/>
      <c r="H13" s="251"/>
      <c r="I13" s="252"/>
      <c r="J13" s="252"/>
    </row>
    <row r="14" spans="1:16" ht="15.95" customHeight="1" thickBot="1">
      <c r="A14" s="247"/>
      <c r="B14" s="247"/>
      <c r="C14" s="247"/>
      <c r="D14" s="247"/>
      <c r="E14" s="247"/>
      <c r="F14" s="247"/>
      <c r="G14" s="247"/>
      <c r="H14" s="247"/>
      <c r="I14" s="247"/>
      <c r="J14" s="223"/>
      <c r="L14" s="249"/>
    </row>
    <row r="15" spans="1:16" ht="15.95" customHeight="1" thickBot="1">
      <c r="A15" s="1285" t="s">
        <v>167</v>
      </c>
      <c r="B15" s="1286"/>
      <c r="C15" s="1286"/>
      <c r="D15" s="1286"/>
      <c r="E15" s="1286"/>
      <c r="F15" s="1287"/>
      <c r="G15" s="233"/>
      <c r="H15" s="233"/>
      <c r="I15" s="233"/>
      <c r="J15" s="223"/>
      <c r="L15" s="249"/>
    </row>
    <row r="16" spans="1:16" ht="15.95" customHeight="1" thickBot="1">
      <c r="A16" s="237" t="s">
        <v>168</v>
      </c>
      <c r="B16" s="238"/>
      <c r="C16" s="238"/>
      <c r="D16" s="238"/>
      <c r="E16" s="238"/>
      <c r="F16" s="239"/>
      <c r="G16" s="233"/>
      <c r="H16" s="233"/>
      <c r="I16" s="233"/>
      <c r="J16" s="223"/>
      <c r="L16" s="249"/>
    </row>
    <row r="17" spans="1:10" ht="15.95" customHeight="1">
      <c r="A17" s="422" t="s">
        <v>57</v>
      </c>
      <c r="B17" s="423" t="s">
        <v>72</v>
      </c>
      <c r="C17" s="422" t="s">
        <v>73</v>
      </c>
      <c r="D17" s="423" t="s">
        <v>74</v>
      </c>
      <c r="E17" s="422" t="s">
        <v>75</v>
      </c>
      <c r="F17" s="424" t="s">
        <v>76</v>
      </c>
      <c r="G17" s="233"/>
      <c r="H17" s="233"/>
      <c r="I17" s="233"/>
      <c r="J17" s="223"/>
    </row>
    <row r="18" spans="1:10" ht="15.95" customHeight="1" thickBot="1">
      <c r="A18" s="290">
        <v>14</v>
      </c>
      <c r="B18" s="287">
        <f>B10*12/1924</f>
        <v>149.04344053118501</v>
      </c>
      <c r="C18" s="288">
        <f>C10*12/1924</f>
        <v>152.12084177858628</v>
      </c>
      <c r="D18" s="287">
        <f>D10*12/1924</f>
        <v>154.25077940852393</v>
      </c>
      <c r="E18" s="288">
        <f>E10*12/1924</f>
        <v>157.32774406548856</v>
      </c>
      <c r="F18" s="289">
        <f>F10*12/1924</f>
        <v>159.45768169542617</v>
      </c>
      <c r="G18" s="233"/>
      <c r="H18" s="232"/>
      <c r="I18" s="232"/>
      <c r="J18" s="223"/>
    </row>
    <row r="19" spans="1:10" ht="15" customHeight="1">
      <c r="A19" s="242"/>
      <c r="B19" s="241"/>
      <c r="C19" s="241"/>
      <c r="D19" s="241"/>
      <c r="E19" s="241"/>
      <c r="F19" s="241"/>
      <c r="G19" s="233"/>
      <c r="H19" s="232"/>
      <c r="I19" s="232"/>
      <c r="J19" s="223"/>
    </row>
    <row r="20" spans="1:10" ht="12.95" customHeight="1" thickBot="1">
      <c r="A20" s="242"/>
      <c r="B20" s="241"/>
      <c r="C20" s="241"/>
      <c r="D20" s="241"/>
      <c r="E20" s="241"/>
      <c r="F20" s="241"/>
      <c r="G20" s="233"/>
      <c r="H20" s="232"/>
      <c r="I20" s="232"/>
      <c r="J20" s="223"/>
    </row>
    <row r="21" spans="1:10" ht="15" customHeight="1" thickBot="1">
      <c r="A21" s="944" t="s">
        <v>160</v>
      </c>
      <c r="B21" s="945"/>
      <c r="C21" s="945"/>
      <c r="D21" s="945"/>
      <c r="E21" s="945"/>
      <c r="F21" s="946"/>
      <c r="G21" s="201"/>
      <c r="H21" s="201"/>
      <c r="I21" s="201"/>
      <c r="J21" s="223"/>
    </row>
    <row r="22" spans="1:10" ht="15" customHeight="1">
      <c r="A22" s="1368" t="s">
        <v>179</v>
      </c>
      <c r="B22" s="1369"/>
      <c r="C22" s="1369"/>
      <c r="D22" s="1369"/>
      <c r="E22" s="416" t="s">
        <v>95</v>
      </c>
      <c r="F22" s="420" t="s">
        <v>100</v>
      </c>
      <c r="G22" s="244"/>
      <c r="H22" s="233"/>
      <c r="I22" s="233"/>
      <c r="J22" s="223"/>
    </row>
    <row r="23" spans="1:10" ht="15" customHeight="1" thickBot="1">
      <c r="A23" s="1371"/>
      <c r="B23" s="1372"/>
      <c r="C23" s="1372"/>
      <c r="D23" s="1372"/>
      <c r="E23" s="418">
        <v>40999</v>
      </c>
      <c r="F23" s="421" t="str">
        <f>'Løntabel gældende fra'!$D$1</f>
        <v>01/11/25</v>
      </c>
      <c r="G23" s="244"/>
      <c r="H23" s="233"/>
      <c r="I23" s="233"/>
      <c r="J23" s="223"/>
    </row>
    <row r="24" spans="1:10" ht="15" customHeight="1" thickBot="1">
      <c r="A24" s="1401" t="s">
        <v>194</v>
      </c>
      <c r="B24" s="1402"/>
      <c r="C24" s="1402"/>
      <c r="D24" s="396"/>
      <c r="E24" s="299">
        <v>1957</v>
      </c>
      <c r="F24" s="291">
        <f>E24+E24*'Løntabel gældende fra'!$D$7%</f>
        <v>2444.5395819999999</v>
      </c>
      <c r="G24" s="244"/>
      <c r="H24" s="233"/>
      <c r="I24" s="233"/>
      <c r="J24" s="223"/>
    </row>
    <row r="25" spans="1:10" ht="15" customHeight="1" thickBot="1">
      <c r="A25" s="1399" t="s">
        <v>180</v>
      </c>
      <c r="B25" s="1400"/>
      <c r="C25" s="1400"/>
      <c r="D25" s="397"/>
      <c r="E25" s="299">
        <v>554</v>
      </c>
      <c r="F25" s="291">
        <f>E25+E25*'Løntabel gældende fra'!$D$7%</f>
        <v>692.015804</v>
      </c>
      <c r="G25" s="244"/>
      <c r="H25" s="233"/>
      <c r="I25" s="233"/>
      <c r="J25" s="223"/>
    </row>
    <row r="26" spans="1:10" ht="15" customHeight="1">
      <c r="A26" s="243"/>
      <c r="B26" s="241"/>
      <c r="C26" s="241"/>
      <c r="D26" s="241"/>
      <c r="E26" s="241"/>
      <c r="F26" s="241"/>
      <c r="G26" s="233"/>
      <c r="H26" s="233"/>
      <c r="I26" s="233"/>
      <c r="J26" s="223"/>
    </row>
    <row r="27" spans="1:10" ht="15" customHeight="1" thickBot="1">
      <c r="A27" s="243"/>
      <c r="B27" s="241"/>
      <c r="C27" s="241"/>
      <c r="D27" s="241"/>
      <c r="E27" s="241"/>
      <c r="F27" s="241"/>
      <c r="G27" s="233"/>
      <c r="H27" s="233"/>
      <c r="I27" s="233"/>
      <c r="J27" s="223"/>
    </row>
    <row r="28" spans="1:10" ht="15" customHeight="1" thickBot="1">
      <c r="A28" s="944" t="s">
        <v>169</v>
      </c>
      <c r="B28" s="945"/>
      <c r="C28" s="945"/>
      <c r="D28" s="945"/>
      <c r="E28" s="945"/>
      <c r="F28" s="945"/>
      <c r="G28" s="945"/>
      <c r="H28" s="945"/>
      <c r="I28" s="946"/>
      <c r="J28" s="223"/>
    </row>
    <row r="29" spans="1:10" ht="15" customHeight="1" thickBot="1">
      <c r="A29" s="1376"/>
      <c r="B29" s="1377"/>
      <c r="C29" s="1377"/>
      <c r="D29" s="1377"/>
      <c r="E29" s="1377"/>
      <c r="F29" s="1377"/>
      <c r="G29" s="1377"/>
      <c r="H29" s="416" t="s">
        <v>95</v>
      </c>
      <c r="I29" s="417" t="s">
        <v>100</v>
      </c>
      <c r="J29" s="223"/>
    </row>
    <row r="30" spans="1:10" ht="15" customHeight="1" thickBot="1">
      <c r="A30" s="1378"/>
      <c r="B30" s="1379"/>
      <c r="C30" s="1379"/>
      <c r="D30" s="1379"/>
      <c r="E30" s="1379"/>
      <c r="F30" s="1379"/>
      <c r="G30" s="1380"/>
      <c r="H30" s="418">
        <v>40999</v>
      </c>
      <c r="I30" s="419" t="str">
        <f>'Løntabel gældende fra'!$D$1</f>
        <v>01/11/25</v>
      </c>
      <c r="J30" s="223"/>
    </row>
    <row r="31" spans="1:10" ht="15" customHeight="1">
      <c r="A31" s="1381" t="s">
        <v>170</v>
      </c>
      <c r="B31" s="1382"/>
      <c r="C31" s="1382"/>
      <c r="D31" s="1382"/>
      <c r="E31" s="1382"/>
      <c r="F31" s="228"/>
      <c r="G31" s="230" t="s">
        <v>162</v>
      </c>
      <c r="H31" s="292">
        <v>22.32</v>
      </c>
      <c r="I31" s="293">
        <f>H31+H31*'Løntabel gældende fra'!$D$7%</f>
        <v>27.880492320000002</v>
      </c>
      <c r="J31" s="223"/>
    </row>
    <row r="32" spans="1:10" ht="15" customHeight="1">
      <c r="A32" s="1389" t="s">
        <v>171</v>
      </c>
      <c r="B32" s="1390"/>
      <c r="C32" s="1390"/>
      <c r="D32" s="1390"/>
      <c r="E32" s="1390"/>
      <c r="F32" s="248"/>
      <c r="G32" s="231" t="s">
        <v>162</v>
      </c>
      <c r="H32" s="294">
        <v>39.921999999999997</v>
      </c>
      <c r="I32" s="295">
        <f>H32+H32*'Løntabel gældende fra'!$D$7%</f>
        <v>49.867608171999997</v>
      </c>
      <c r="J32" s="223"/>
    </row>
    <row r="33" spans="1:10" ht="26.1" customHeight="1">
      <c r="A33" s="1381" t="s">
        <v>172</v>
      </c>
      <c r="B33" s="1382"/>
      <c r="C33" s="1382"/>
      <c r="D33" s="1382"/>
      <c r="E33" s="1382"/>
      <c r="F33" s="1382"/>
      <c r="G33" s="231" t="s">
        <v>162</v>
      </c>
      <c r="H33" s="294">
        <v>39.92</v>
      </c>
      <c r="I33" s="295">
        <f>H33+H33*'Løntabel gældende fra'!$D$7%</f>
        <v>49.865109920000002</v>
      </c>
      <c r="J33" s="223"/>
    </row>
    <row r="34" spans="1:10" ht="15" customHeight="1" thickBot="1">
      <c r="A34" s="261" t="s">
        <v>161</v>
      </c>
      <c r="B34" s="260"/>
      <c r="C34" s="260"/>
      <c r="D34" s="260"/>
      <c r="E34" s="245"/>
      <c r="F34" s="245"/>
      <c r="G34" s="255" t="s">
        <v>162</v>
      </c>
      <c r="H34" s="296">
        <v>39.921999999999997</v>
      </c>
      <c r="I34" s="297">
        <f>H34+H34*'Løntabel gældende fra'!$D$7%</f>
        <v>49.867608171999997</v>
      </c>
      <c r="J34" s="223"/>
    </row>
    <row r="35" spans="1:10" ht="15" customHeight="1">
      <c r="A35" s="254"/>
      <c r="B35" s="254"/>
      <c r="C35" s="254"/>
      <c r="D35" s="254"/>
      <c r="E35" s="254"/>
      <c r="F35" s="254"/>
      <c r="G35" s="254"/>
      <c r="H35" s="218"/>
      <c r="I35" s="253"/>
      <c r="J35" s="223"/>
    </row>
    <row r="36" spans="1:10" ht="15" customHeight="1" thickBot="1">
      <c r="A36" s="254"/>
      <c r="B36" s="254"/>
      <c r="C36" s="254"/>
      <c r="D36" s="254"/>
      <c r="E36" s="254"/>
      <c r="F36" s="254"/>
      <c r="G36" s="254"/>
      <c r="H36" s="218"/>
      <c r="I36" s="253"/>
      <c r="J36" s="223"/>
    </row>
    <row r="37" spans="1:10" ht="15" customHeight="1" thickBot="1">
      <c r="A37" s="944" t="s">
        <v>173</v>
      </c>
      <c r="B37" s="945"/>
      <c r="C37" s="945"/>
      <c r="D37" s="945"/>
      <c r="E37" s="945"/>
      <c r="F37" s="945"/>
      <c r="G37" s="945"/>
      <c r="H37" s="945"/>
      <c r="I37" s="946"/>
      <c r="J37" s="233"/>
    </row>
    <row r="38" spans="1:10" ht="15" customHeight="1" thickBot="1">
      <c r="A38" s="1376"/>
      <c r="B38" s="1377"/>
      <c r="C38" s="1377"/>
      <c r="D38" s="1377"/>
      <c r="E38" s="1377"/>
      <c r="F38" s="1377"/>
      <c r="G38" s="1377"/>
      <c r="H38" s="416" t="s">
        <v>95</v>
      </c>
      <c r="I38" s="417" t="s">
        <v>100</v>
      </c>
      <c r="J38" s="233"/>
    </row>
    <row r="39" spans="1:10" ht="15" customHeight="1" thickBot="1">
      <c r="A39" s="1378"/>
      <c r="B39" s="1379"/>
      <c r="C39" s="1379"/>
      <c r="D39" s="1379"/>
      <c r="E39" s="1379"/>
      <c r="F39" s="1379"/>
      <c r="G39" s="1380"/>
      <c r="H39" s="418">
        <v>40999</v>
      </c>
      <c r="I39" s="419" t="str">
        <f>'Løntabel gældende fra'!$D$1</f>
        <v>01/11/25</v>
      </c>
      <c r="J39" s="233"/>
    </row>
    <row r="40" spans="1:10" ht="15" customHeight="1" thickBot="1">
      <c r="A40" s="1374" t="s">
        <v>174</v>
      </c>
      <c r="B40" s="1375"/>
      <c r="C40" s="1375"/>
      <c r="D40" s="1375"/>
      <c r="E40" s="1375"/>
      <c r="F40" s="229"/>
      <c r="G40" s="240" t="s">
        <v>162</v>
      </c>
      <c r="H40" s="298">
        <v>6.88</v>
      </c>
      <c r="I40" s="291">
        <f>H40+H40*'Løntabel gældende fra'!$D$7%</f>
        <v>8.5939868799999992</v>
      </c>
      <c r="J40" s="233"/>
    </row>
    <row r="41" spans="1:10" ht="15" customHeight="1">
      <c r="A41" s="223"/>
      <c r="B41" s="223"/>
      <c r="C41" s="223"/>
      <c r="D41" s="223"/>
      <c r="E41" s="223"/>
      <c r="F41" s="224"/>
      <c r="G41" s="223"/>
      <c r="H41" s="224"/>
      <c r="I41" s="223"/>
      <c r="J41" s="233"/>
    </row>
    <row r="42" spans="1:10" ht="15" customHeight="1" thickBot="1">
      <c r="A42" s="223"/>
      <c r="B42" s="223"/>
      <c r="C42" s="223"/>
      <c r="D42" s="223"/>
      <c r="E42" s="223"/>
      <c r="F42" s="224"/>
      <c r="G42" s="223"/>
      <c r="H42" s="224"/>
      <c r="I42" s="223"/>
      <c r="J42" s="233"/>
    </row>
    <row r="43" spans="1:10" ht="15" customHeight="1" thickBot="1">
      <c r="A43" s="944" t="s">
        <v>175</v>
      </c>
      <c r="B43" s="945"/>
      <c r="C43" s="945"/>
      <c r="D43" s="945"/>
      <c r="E43" s="945"/>
      <c r="F43" s="945"/>
      <c r="G43" s="945"/>
      <c r="H43" s="945"/>
      <c r="I43" s="946"/>
      <c r="J43" s="233"/>
    </row>
    <row r="44" spans="1:10" ht="15" customHeight="1">
      <c r="A44" s="1383"/>
      <c r="B44" s="1384"/>
      <c r="C44" s="1384"/>
      <c r="D44" s="1384"/>
      <c r="E44" s="1384"/>
      <c r="F44" s="1384"/>
      <c r="G44" s="1385"/>
      <c r="H44" s="416" t="s">
        <v>95</v>
      </c>
      <c r="I44" s="417" t="s">
        <v>100</v>
      </c>
      <c r="J44" s="233"/>
    </row>
    <row r="45" spans="1:10" ht="15" customHeight="1" thickBot="1">
      <c r="A45" s="1386"/>
      <c r="B45" s="1387"/>
      <c r="C45" s="1387"/>
      <c r="D45" s="1387"/>
      <c r="E45" s="1387"/>
      <c r="F45" s="1387"/>
      <c r="G45" s="1388"/>
      <c r="H45" s="418">
        <v>40999</v>
      </c>
      <c r="I45" s="419" t="str">
        <f>'Løntabel gældende fra'!$D$1</f>
        <v>01/11/25</v>
      </c>
      <c r="J45" s="233"/>
    </row>
    <row r="46" spans="1:10" ht="15" customHeight="1" thickBot="1">
      <c r="A46" s="1374" t="s">
        <v>187</v>
      </c>
      <c r="B46" s="1375"/>
      <c r="C46" s="1375"/>
      <c r="D46" s="1375"/>
      <c r="E46" s="1375"/>
      <c r="F46" s="229"/>
      <c r="G46" s="240"/>
      <c r="H46" s="298">
        <v>655</v>
      </c>
      <c r="I46" s="291">
        <f>H46+H46*'Løntabel gældende fra'!$D$7%</f>
        <v>818.17753000000005</v>
      </c>
      <c r="J46" s="233"/>
    </row>
    <row r="47" spans="1:10" ht="15" customHeight="1">
      <c r="A47" s="223"/>
      <c r="B47" s="223"/>
      <c r="C47" s="223"/>
      <c r="D47" s="223"/>
      <c r="E47" s="223"/>
      <c r="F47" s="224"/>
      <c r="G47" s="223"/>
      <c r="H47" s="224"/>
      <c r="I47" s="223"/>
      <c r="J47" s="233"/>
    </row>
    <row r="48" spans="1:10" ht="15" customHeight="1" thickBot="1">
      <c r="A48" s="223"/>
      <c r="B48" s="223"/>
      <c r="C48" s="223"/>
      <c r="D48" s="223"/>
      <c r="E48" s="223"/>
      <c r="F48" s="224"/>
      <c r="G48" s="223"/>
      <c r="H48" s="224"/>
      <c r="I48" s="223"/>
      <c r="J48" s="233"/>
    </row>
    <row r="49" spans="1:10" ht="15" customHeight="1" thickBot="1">
      <c r="A49" s="944" t="s">
        <v>176</v>
      </c>
      <c r="B49" s="945"/>
      <c r="C49" s="945"/>
      <c r="D49" s="945"/>
      <c r="E49" s="945"/>
      <c r="F49" s="945"/>
      <c r="G49" s="945"/>
      <c r="H49" s="945"/>
      <c r="I49" s="946"/>
      <c r="J49" s="233"/>
    </row>
    <row r="50" spans="1:10" ht="15" customHeight="1">
      <c r="A50" s="1368" t="s">
        <v>178</v>
      </c>
      <c r="B50" s="1369"/>
      <c r="C50" s="1369"/>
      <c r="D50" s="1369"/>
      <c r="E50" s="1369"/>
      <c r="F50" s="1369"/>
      <c r="G50" s="1370"/>
      <c r="H50" s="416" t="s">
        <v>95</v>
      </c>
      <c r="I50" s="417" t="s">
        <v>100</v>
      </c>
      <c r="J50" s="233"/>
    </row>
    <row r="51" spans="1:10" ht="15" customHeight="1" thickBot="1">
      <c r="A51" s="1371"/>
      <c r="B51" s="1372"/>
      <c r="C51" s="1372"/>
      <c r="D51" s="1372"/>
      <c r="E51" s="1372"/>
      <c r="F51" s="1372"/>
      <c r="G51" s="1373"/>
      <c r="H51" s="418">
        <v>40999</v>
      </c>
      <c r="I51" s="419" t="str">
        <f>'Løntabel gældende fra'!$D$1</f>
        <v>01/11/25</v>
      </c>
      <c r="J51" s="233"/>
    </row>
    <row r="52" spans="1:10" ht="15" customHeight="1" thickBot="1">
      <c r="A52" s="1374" t="s">
        <v>177</v>
      </c>
      <c r="B52" s="1375"/>
      <c r="C52" s="1375"/>
      <c r="D52" s="1375"/>
      <c r="E52" s="1375"/>
      <c r="F52" s="229"/>
      <c r="G52" s="240"/>
      <c r="H52" s="298">
        <v>0</v>
      </c>
      <c r="I52" s="291">
        <f>H52+H52*'Løntabel gældende fra'!$D$7%</f>
        <v>0</v>
      </c>
      <c r="J52" s="233"/>
    </row>
    <row r="53" spans="1:10" ht="15" customHeight="1">
      <c r="A53" s="223"/>
      <c r="B53" s="223"/>
      <c r="C53" s="223"/>
      <c r="D53" s="223"/>
      <c r="E53" s="223"/>
      <c r="F53" s="224"/>
      <c r="G53" s="223"/>
      <c r="H53" s="224"/>
      <c r="I53" s="223"/>
      <c r="J53" s="233"/>
    </row>
    <row r="54" spans="1:10" ht="15" customHeight="1" thickBot="1">
      <c r="A54" s="223"/>
      <c r="B54" s="223"/>
      <c r="C54" s="223"/>
      <c r="D54" s="223"/>
      <c r="E54" s="223"/>
      <c r="F54" s="224"/>
      <c r="G54" s="223"/>
      <c r="H54" s="224"/>
      <c r="I54" s="223"/>
      <c r="J54" s="233"/>
    </row>
    <row r="55" spans="1:10" s="233" customFormat="1" ht="18.75" thickBot="1">
      <c r="A55" s="944" t="s">
        <v>181</v>
      </c>
      <c r="B55" s="945"/>
      <c r="C55" s="945"/>
      <c r="D55" s="945"/>
      <c r="E55" s="945"/>
      <c r="F55" s="945"/>
      <c r="G55" s="945"/>
      <c r="H55" s="945"/>
      <c r="I55" s="946"/>
    </row>
    <row r="56" spans="1:10" s="233" customFormat="1" ht="14.25">
      <c r="A56" s="1368"/>
      <c r="B56" s="1369"/>
      <c r="C56" s="1369"/>
      <c r="D56" s="1369"/>
      <c r="E56" s="1369"/>
      <c r="F56" s="1369"/>
      <c r="G56" s="1370"/>
      <c r="H56" s="416" t="s">
        <v>95</v>
      </c>
      <c r="I56" s="417" t="s">
        <v>100</v>
      </c>
    </row>
    <row r="57" spans="1:10" s="233" customFormat="1" ht="15" thickBot="1">
      <c r="A57" s="1371"/>
      <c r="B57" s="1372"/>
      <c r="C57" s="1372"/>
      <c r="D57" s="1372"/>
      <c r="E57" s="1372"/>
      <c r="F57" s="1372"/>
      <c r="G57" s="1373"/>
      <c r="H57" s="418">
        <v>40999</v>
      </c>
      <c r="I57" s="419" t="str">
        <f>'Løntabel gældende fra'!$D$1</f>
        <v>01/11/25</v>
      </c>
    </row>
    <row r="58" spans="1:10" s="233" customFormat="1" ht="15" thickBot="1">
      <c r="A58" s="1374" t="s">
        <v>181</v>
      </c>
      <c r="B58" s="1375"/>
      <c r="C58" s="1375"/>
      <c r="D58" s="1375"/>
      <c r="E58" s="1375"/>
      <c r="F58" s="229"/>
      <c r="G58" s="240"/>
      <c r="H58" s="298">
        <v>10500</v>
      </c>
      <c r="I58" s="299">
        <f>H58+H58*'Løntabel gældende fra'!$D$7%</f>
        <v>13115.823</v>
      </c>
    </row>
    <row r="59" spans="1:10" s="259" customFormat="1" ht="14.25">
      <c r="A59" s="256"/>
      <c r="B59" s="256"/>
      <c r="C59" s="256"/>
      <c r="D59" s="256"/>
      <c r="E59" s="256"/>
      <c r="F59" s="244"/>
      <c r="G59" s="244"/>
      <c r="H59" s="257"/>
      <c r="I59" s="258"/>
    </row>
  </sheetData>
  <sheetProtection algorithmName="SHA-512" hashValue="AyjNfP6ulIQbGOSduTfLM0yMPMukmW2G0CCnfh4iT/w0yWlbiZPRzKY3RB9aVwVORfD1aacLTuhCywMCzN+q+g==" saltValue="ujB9Ub6xuuAd7dBIwZVd5w==" spinCount="100000" sheet="1" objects="1" scenarios="1"/>
  <mergeCells count="29">
    <mergeCell ref="A29:G30"/>
    <mergeCell ref="A31:E31"/>
    <mergeCell ref="A32:E32"/>
    <mergeCell ref="A1:J1"/>
    <mergeCell ref="A2:J2"/>
    <mergeCell ref="A3:J3"/>
    <mergeCell ref="G8:J8"/>
    <mergeCell ref="A8:F8"/>
    <mergeCell ref="A4:I4"/>
    <mergeCell ref="A5:I5"/>
    <mergeCell ref="A15:F15"/>
    <mergeCell ref="A21:F21"/>
    <mergeCell ref="A22:D23"/>
    <mergeCell ref="A25:C25"/>
    <mergeCell ref="A28:I28"/>
    <mergeCell ref="A24:C24"/>
    <mergeCell ref="A33:F33"/>
    <mergeCell ref="A43:I43"/>
    <mergeCell ref="A44:G45"/>
    <mergeCell ref="A49:I49"/>
    <mergeCell ref="A50:G51"/>
    <mergeCell ref="A56:G57"/>
    <mergeCell ref="A58:E58"/>
    <mergeCell ref="A46:E46"/>
    <mergeCell ref="A52:E52"/>
    <mergeCell ref="A37:I37"/>
    <mergeCell ref="A38:G39"/>
    <mergeCell ref="A40:E40"/>
    <mergeCell ref="A55:I55"/>
  </mergeCells>
  <phoneticPr fontId="7" type="noConversion"/>
  <pageMargins left="0.59055118110236227" right="0.59055118110236227" top="0.74803149606299213" bottom="0.74803149606299213" header="0.31496062992125984" footer="0.31496062992125984"/>
  <pageSetup paperSize="9" scale="86" fitToHeight="3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"/>
  <sheetViews>
    <sheetView zoomScale="125" zoomScaleNormal="125" zoomScalePageLayoutView="125" workbookViewId="0">
      <selection activeCell="H12" sqref="H12"/>
    </sheetView>
  </sheetViews>
  <sheetFormatPr defaultColWidth="8.85546875" defaultRowHeight="12.75"/>
  <cols>
    <col min="1" max="1" width="13.28515625" style="207" customWidth="1"/>
    <col min="2" max="2" width="15" style="207" customWidth="1"/>
    <col min="3" max="3" width="16.28515625" style="207" customWidth="1"/>
    <col min="4" max="4" width="16.140625" style="208" customWidth="1"/>
    <col min="5" max="5" width="17.28515625" style="207" customWidth="1"/>
    <col min="6" max="6" width="13.7109375" style="209" customWidth="1"/>
    <col min="7" max="7" width="0.28515625" style="209" customWidth="1"/>
    <col min="8" max="8" width="10.7109375" style="207" customWidth="1"/>
    <col min="9" max="16384" width="8.85546875" style="207"/>
  </cols>
  <sheetData>
    <row r="1" spans="1:9" s="2" customFormat="1" ht="21.95" customHeight="1">
      <c r="A1" s="1053" t="s">
        <v>19</v>
      </c>
      <c r="B1" s="1054"/>
      <c r="C1" s="1054"/>
      <c r="D1" s="1054"/>
      <c r="E1" s="1054"/>
      <c r="F1" s="1054"/>
      <c r="G1" s="1055"/>
      <c r="H1" s="379"/>
      <c r="I1" s="39"/>
    </row>
    <row r="2" spans="1:9" s="2" customFormat="1" ht="75.95" customHeight="1">
      <c r="A2" s="1391" t="s">
        <v>145</v>
      </c>
      <c r="B2" s="1392"/>
      <c r="C2" s="1392"/>
      <c r="D2" s="1392"/>
      <c r="E2" s="1392"/>
      <c r="F2" s="1392"/>
      <c r="G2" s="1393"/>
      <c r="H2" s="378"/>
    </row>
    <row r="3" spans="1:9" s="2" customFormat="1" ht="27.95" customHeight="1" thickBot="1">
      <c r="A3" s="1334" t="s">
        <v>190</v>
      </c>
      <c r="B3" s="1335"/>
      <c r="C3" s="1335"/>
      <c r="D3" s="1335"/>
      <c r="E3" s="1335"/>
      <c r="F3" s="1335"/>
      <c r="G3" s="1336"/>
      <c r="H3" s="379"/>
    </row>
    <row r="4" spans="1:9" ht="12" customHeight="1" thickBot="1">
      <c r="A4" s="1404"/>
      <c r="B4" s="1404"/>
      <c r="C4" s="1404"/>
      <c r="D4" s="1404"/>
      <c r="E4" s="1404"/>
      <c r="F4" s="1404"/>
      <c r="G4" s="1404"/>
    </row>
    <row r="5" spans="1:9" ht="18.75" thickBot="1">
      <c r="A5" s="438" t="s">
        <v>148</v>
      </c>
      <c r="B5" s="439"/>
      <c r="C5" s="439"/>
      <c r="D5" s="439"/>
      <c r="E5" s="439"/>
      <c r="F5" s="380"/>
      <c r="G5" s="440"/>
    </row>
    <row r="6" spans="1:9" ht="30" customHeight="1">
      <c r="A6" s="947" t="s">
        <v>135</v>
      </c>
      <c r="B6" s="947" t="s">
        <v>91</v>
      </c>
      <c r="C6" s="383" t="s">
        <v>97</v>
      </c>
      <c r="D6" s="384" t="s">
        <v>97</v>
      </c>
      <c r="E6" s="384" t="s">
        <v>98</v>
      </c>
      <c r="F6" s="303" t="s">
        <v>136</v>
      </c>
    </row>
    <row r="7" spans="1:9" ht="15" customHeight="1" thickBot="1">
      <c r="A7" s="965"/>
      <c r="B7" s="965"/>
      <c r="C7" s="325">
        <v>40999</v>
      </c>
      <c r="D7" s="301">
        <f>'Løntabel gældende fra'!C7</f>
        <v>45962</v>
      </c>
      <c r="E7" s="301">
        <f>'Løntabel gældende fra'!C7</f>
        <v>45962</v>
      </c>
      <c r="F7" s="376" t="s">
        <v>137</v>
      </c>
    </row>
    <row r="8" spans="1:9" ht="15.95" customHeight="1">
      <c r="A8" s="87">
        <v>1</v>
      </c>
      <c r="B8" s="87" t="s">
        <v>138</v>
      </c>
      <c r="C8" s="328">
        <f>12*22670</f>
        <v>272040</v>
      </c>
      <c r="D8" s="215">
        <f>C8+(C8*'Løntabel gældende fra'!$D$7%)</f>
        <v>339812.23704000004</v>
      </c>
      <c r="E8" s="340">
        <f>D8/12</f>
        <v>28317.686420000002</v>
      </c>
      <c r="F8" s="430">
        <f>(E8*12)/1672*1</f>
        <v>203.2369838755981</v>
      </c>
    </row>
    <row r="9" spans="1:9" ht="15.95" customHeight="1">
      <c r="A9" s="88">
        <v>2</v>
      </c>
      <c r="B9" s="88" t="s">
        <v>146</v>
      </c>
      <c r="C9" s="331">
        <f>25300*12</f>
        <v>303600</v>
      </c>
      <c r="D9" s="176">
        <f>C9+(C9*'Løntabel gældende fra'!$D$7%)</f>
        <v>379234.65360000002</v>
      </c>
      <c r="E9" s="270">
        <f>D9/12</f>
        <v>31602.8878</v>
      </c>
      <c r="F9" s="432">
        <f>(E9*12)/1672*1</f>
        <v>226.81498421052632</v>
      </c>
    </row>
    <row r="10" spans="1:9" ht="15.95" customHeight="1">
      <c r="A10" s="210">
        <v>3</v>
      </c>
      <c r="B10" s="433" t="s">
        <v>139</v>
      </c>
      <c r="C10" s="434">
        <f>27920*12</f>
        <v>335040</v>
      </c>
      <c r="D10" s="176">
        <f>C10+(C10*'Løntabel gældende fra'!$D$7%)</f>
        <v>418507.17504</v>
      </c>
      <c r="E10" s="270">
        <f>D10/12</f>
        <v>34875.59792</v>
      </c>
      <c r="F10" s="432">
        <f>(E10*12)/1672*1</f>
        <v>250.30333435406698</v>
      </c>
    </row>
    <row r="11" spans="1:9" ht="15.95" customHeight="1" thickBot="1">
      <c r="A11" s="211">
        <v>4</v>
      </c>
      <c r="B11" s="435" t="s">
        <v>147</v>
      </c>
      <c r="C11" s="436">
        <f>29200*12</f>
        <v>350400</v>
      </c>
      <c r="D11" s="159">
        <f>C11+(C11*'Løntabel gældende fra'!$D$7%)</f>
        <v>437693.75040000002</v>
      </c>
      <c r="E11" s="342">
        <f>D11/12</f>
        <v>36474.479200000002</v>
      </c>
      <c r="F11" s="431">
        <f>(E11*12)/1672*1</f>
        <v>261.77855885167463</v>
      </c>
    </row>
    <row r="12" spans="1:9" ht="11.1" customHeight="1" thickBot="1"/>
    <row r="13" spans="1:9" ht="18.75" thickBot="1">
      <c r="A13" s="953" t="s">
        <v>149</v>
      </c>
      <c r="B13" s="954"/>
      <c r="C13" s="954"/>
      <c r="D13" s="954"/>
      <c r="E13" s="1023"/>
      <c r="F13" s="201"/>
    </row>
    <row r="14" spans="1:9" ht="30" customHeight="1">
      <c r="A14" s="947" t="s">
        <v>135</v>
      </c>
      <c r="B14" s="383" t="s">
        <v>97</v>
      </c>
      <c r="C14" s="384" t="s">
        <v>97</v>
      </c>
      <c r="D14" s="384" t="s">
        <v>98</v>
      </c>
      <c r="E14" s="303" t="s">
        <v>136</v>
      </c>
      <c r="F14" s="40"/>
    </row>
    <row r="15" spans="1:9" ht="17.100000000000001" customHeight="1" thickBot="1">
      <c r="A15" s="965"/>
      <c r="B15" s="325">
        <v>40999</v>
      </c>
      <c r="C15" s="301">
        <f>'Løntabel gældende fra'!C7</f>
        <v>45962</v>
      </c>
      <c r="D15" s="301">
        <f>'Løntabel gældende fra'!C7</f>
        <v>45962</v>
      </c>
      <c r="E15" s="376" t="s">
        <v>137</v>
      </c>
      <c r="F15" s="40"/>
    </row>
    <row r="16" spans="1:9" ht="15.95" customHeight="1">
      <c r="A16" s="87" t="s">
        <v>140</v>
      </c>
      <c r="B16" s="328">
        <f>12*13140</f>
        <v>157680</v>
      </c>
      <c r="C16" s="215">
        <f>B16+(B16*'Løntabel gældende fra'!$D$7%)</f>
        <v>196962.18768</v>
      </c>
      <c r="D16" s="340">
        <f>C16/12</f>
        <v>16413.515640000001</v>
      </c>
      <c r="E16" s="430">
        <f>(D16*12)/1672*1</f>
        <v>117.80035148325361</v>
      </c>
      <c r="F16" s="214"/>
    </row>
    <row r="17" spans="1:8" ht="15.95" customHeight="1" thickBot="1">
      <c r="A17" s="89" t="s">
        <v>141</v>
      </c>
      <c r="B17" s="329">
        <f>12*13800</f>
        <v>165600</v>
      </c>
      <c r="C17" s="159">
        <f>B17+(B17*'Løntabel gældende fra'!$D$7%)</f>
        <v>206855.26559999998</v>
      </c>
      <c r="D17" s="342">
        <f>C17/12</f>
        <v>17237.9388</v>
      </c>
      <c r="E17" s="431">
        <f>(D17*12)/1672*1</f>
        <v>123.71726411483253</v>
      </c>
      <c r="F17" s="214"/>
    </row>
    <row r="18" spans="1:8" ht="12.95" customHeight="1" thickBot="1"/>
    <row r="19" spans="1:8" ht="18.75" thickBot="1">
      <c r="A19" s="953" t="s">
        <v>150</v>
      </c>
      <c r="B19" s="954"/>
      <c r="C19" s="954"/>
      <c r="D19" s="954"/>
      <c r="E19" s="1023"/>
    </row>
    <row r="20" spans="1:8" ht="30" customHeight="1">
      <c r="A20" s="306" t="s">
        <v>135</v>
      </c>
      <c r="B20" s="383" t="s">
        <v>97</v>
      </c>
      <c r="C20" s="384" t="s">
        <v>97</v>
      </c>
      <c r="D20" s="384" t="s">
        <v>98</v>
      </c>
      <c r="E20" s="303" t="s">
        <v>136</v>
      </c>
    </row>
    <row r="21" spans="1:8" ht="15.95" customHeight="1" thickBot="1">
      <c r="A21" s="327"/>
      <c r="B21" s="325">
        <v>40999</v>
      </c>
      <c r="C21" s="301">
        <f>'Løntabel gældende fra'!C7</f>
        <v>45962</v>
      </c>
      <c r="D21" s="301">
        <f>'Løntabel gældende fra'!C7</f>
        <v>45962</v>
      </c>
      <c r="E21" s="376" t="s">
        <v>137</v>
      </c>
    </row>
    <row r="22" spans="1:8" ht="15.95" customHeight="1" thickBot="1">
      <c r="A22" s="212" t="s">
        <v>140</v>
      </c>
      <c r="B22" s="343">
        <f>12*18700</f>
        <v>224400</v>
      </c>
      <c r="C22" s="216">
        <f>B22+(B22*'Løntabel gældende fra'!$D$7%)</f>
        <v>280303.87439999997</v>
      </c>
      <c r="D22" s="217">
        <f>C22/12</f>
        <v>23358.656199999998</v>
      </c>
      <c r="E22" s="437">
        <f>(D22*12)/1672*1</f>
        <v>167.64585789473682</v>
      </c>
      <c r="F22" s="208"/>
      <c r="G22" s="208"/>
    </row>
    <row r="23" spans="1:8" s="249" customFormat="1" ht="12" customHeight="1" thickBot="1">
      <c r="A23" s="40"/>
      <c r="B23" s="257"/>
      <c r="C23" s="257"/>
      <c r="D23" s="257"/>
      <c r="E23" s="213"/>
      <c r="F23" s="377"/>
      <c r="G23" s="377"/>
    </row>
    <row r="24" spans="1:8" ht="18.75" thickBot="1">
      <c r="A24" s="953" t="s">
        <v>152</v>
      </c>
      <c r="B24" s="954"/>
      <c r="C24" s="954"/>
      <c r="D24" s="954"/>
      <c r="E24" s="1023"/>
      <c r="F24" s="201"/>
      <c r="G24" s="201"/>
      <c r="H24" s="201"/>
    </row>
    <row r="25" spans="1:8" ht="30.95" customHeight="1" thickBot="1">
      <c r="A25" s="987" t="s">
        <v>135</v>
      </c>
      <c r="B25" s="947" t="s">
        <v>20</v>
      </c>
      <c r="C25" s="385" t="s">
        <v>197</v>
      </c>
      <c r="D25" s="386">
        <v>0.17299999999999999</v>
      </c>
      <c r="E25" s="393"/>
      <c r="F25" s="387"/>
      <c r="G25" s="390"/>
      <c r="H25" s="391"/>
    </row>
    <row r="26" spans="1:8" ht="45" customHeight="1" thickBot="1">
      <c r="A26" s="1121"/>
      <c r="B26" s="965"/>
      <c r="C26" s="200" t="s">
        <v>21</v>
      </c>
      <c r="D26" s="389" t="s">
        <v>198</v>
      </c>
      <c r="E26" s="384" t="s">
        <v>22</v>
      </c>
      <c r="F26" s="1408"/>
      <c r="G26" s="1408"/>
      <c r="H26" s="392"/>
    </row>
    <row r="27" spans="1:8" ht="15.95" customHeight="1">
      <c r="A27" s="333">
        <v>1</v>
      </c>
      <c r="B27" s="158">
        <f>E8</f>
        <v>28317.686420000002</v>
      </c>
      <c r="C27" s="158">
        <f>E27*1/3</f>
        <v>1632.9865835533335</v>
      </c>
      <c r="D27" s="324">
        <f>E27*2/3</f>
        <v>3265.973167106667</v>
      </c>
      <c r="E27" s="158">
        <f>B27*$D$25</f>
        <v>4898.9597506600003</v>
      </c>
      <c r="F27" s="387"/>
      <c r="G27" s="388"/>
      <c r="H27" s="249"/>
    </row>
    <row r="28" spans="1:8" ht="15.95" customHeight="1">
      <c r="A28" s="394">
        <v>2</v>
      </c>
      <c r="B28" s="176">
        <f>E9</f>
        <v>31602.8878</v>
      </c>
      <c r="C28" s="176">
        <f>E28*1/3</f>
        <v>1822.4331964666665</v>
      </c>
      <c r="D28" s="331">
        <f>E28*2/3</f>
        <v>3644.8663929333329</v>
      </c>
      <c r="E28" s="176">
        <f>B28*$D$25</f>
        <v>5467.2995893999996</v>
      </c>
      <c r="F28" s="387"/>
      <c r="G28" s="388"/>
      <c r="H28" s="249"/>
    </row>
    <row r="29" spans="1:8" ht="15.95" customHeight="1">
      <c r="A29" s="394">
        <v>3</v>
      </c>
      <c r="B29" s="176">
        <f>E10</f>
        <v>34875.59792</v>
      </c>
      <c r="C29" s="176">
        <f>E29*1/3</f>
        <v>2011.1594800533333</v>
      </c>
      <c r="D29" s="331">
        <f>E29*2/3</f>
        <v>4022.3189601066665</v>
      </c>
      <c r="E29" s="176">
        <f>B29*$D$25</f>
        <v>6033.47844016</v>
      </c>
      <c r="F29" s="387"/>
      <c r="G29" s="388"/>
      <c r="H29" s="249"/>
    </row>
    <row r="30" spans="1:8" ht="15.95" customHeight="1" thickBot="1">
      <c r="A30" s="335">
        <v>4</v>
      </c>
      <c r="B30" s="159">
        <f>E11</f>
        <v>36474.479200000002</v>
      </c>
      <c r="C30" s="159">
        <f>E30*1/3</f>
        <v>2103.3616338666666</v>
      </c>
      <c r="D30" s="329">
        <f>E30*2/3</f>
        <v>4206.7232677333332</v>
      </c>
      <c r="E30" s="159">
        <f>B30*$D$25</f>
        <v>6310.0849016000002</v>
      </c>
      <c r="F30" s="387"/>
      <c r="G30" s="388"/>
      <c r="H30" s="249"/>
    </row>
    <row r="31" spans="1:8" ht="12" customHeight="1" thickBot="1">
      <c r="A31" s="40"/>
      <c r="B31" s="218"/>
      <c r="C31" s="218"/>
      <c r="D31" s="218"/>
      <c r="E31" s="213"/>
      <c r="F31" s="208"/>
      <c r="G31" s="208"/>
    </row>
    <row r="32" spans="1:8" ht="26.25" customHeight="1" thickBot="1">
      <c r="A32" s="1409" t="s">
        <v>153</v>
      </c>
      <c r="B32" s="1410"/>
      <c r="C32" s="1410"/>
      <c r="D32" s="1410"/>
      <c r="E32" s="1411"/>
      <c r="F32" s="104" t="s">
        <v>89</v>
      </c>
      <c r="G32" s="208"/>
    </row>
    <row r="33" spans="1:8" ht="29.1" customHeight="1" thickBot="1">
      <c r="A33" s="941" t="s">
        <v>151</v>
      </c>
      <c r="B33" s="942"/>
      <c r="C33" s="942"/>
      <c r="D33" s="942"/>
      <c r="E33" s="1403"/>
      <c r="F33" s="429">
        <v>160</v>
      </c>
      <c r="G33" s="208"/>
    </row>
    <row r="34" spans="1:8" ht="4.5" customHeight="1">
      <c r="A34" s="381"/>
      <c r="B34" s="381"/>
      <c r="C34" s="381"/>
      <c r="D34" s="381"/>
      <c r="E34" s="381"/>
      <c r="F34" s="382"/>
      <c r="G34" s="208"/>
    </row>
    <row r="35" spans="1:8" s="233" customFormat="1" ht="27.95" customHeight="1">
      <c r="A35" s="1405" t="s">
        <v>142</v>
      </c>
      <c r="B35" s="1405"/>
      <c r="C35" s="1405"/>
      <c r="D35" s="1405"/>
      <c r="E35" s="1405"/>
      <c r="F35" s="1405"/>
      <c r="G35" s="1405"/>
    </row>
    <row r="36" spans="1:8" s="233" customFormat="1" ht="30" customHeight="1">
      <c r="A36" s="1406" t="s">
        <v>143</v>
      </c>
      <c r="B36" s="1406"/>
      <c r="C36" s="1406"/>
      <c r="D36" s="1406"/>
      <c r="E36" s="1406"/>
      <c r="F36" s="1406"/>
      <c r="G36" s="1406"/>
      <c r="H36" s="395"/>
    </row>
    <row r="37" spans="1:8" s="233" customFormat="1" ht="32.25" customHeight="1">
      <c r="A37" s="1407" t="s">
        <v>144</v>
      </c>
      <c r="B37" s="1407"/>
      <c r="C37" s="1407"/>
      <c r="D37" s="1407"/>
      <c r="E37" s="1407"/>
      <c r="F37" s="1407"/>
      <c r="G37" s="1407"/>
    </row>
    <row r="39" spans="1:8">
      <c r="A39" s="219"/>
      <c r="B39" s="219"/>
    </row>
    <row r="40" spans="1:8">
      <c r="A40" s="219"/>
      <c r="B40" s="219"/>
      <c r="C40" s="220"/>
    </row>
    <row r="41" spans="1:8">
      <c r="C41" s="221"/>
    </row>
    <row r="42" spans="1:8">
      <c r="C42" s="221"/>
    </row>
    <row r="43" spans="1:8">
      <c r="C43" s="221"/>
    </row>
    <row r="44" spans="1:8">
      <c r="C44" s="222"/>
    </row>
  </sheetData>
  <sheetProtection password="CA9C" sheet="1" objects="1" scenarios="1"/>
  <mergeCells count="18">
    <mergeCell ref="A35:G35"/>
    <mergeCell ref="A36:G36"/>
    <mergeCell ref="A37:G37"/>
    <mergeCell ref="F26:G26"/>
    <mergeCell ref="B6:B7"/>
    <mergeCell ref="A32:E32"/>
    <mergeCell ref="A1:G1"/>
    <mergeCell ref="A2:G2"/>
    <mergeCell ref="A3:G3"/>
    <mergeCell ref="A33:E33"/>
    <mergeCell ref="B25:B26"/>
    <mergeCell ref="A24:E24"/>
    <mergeCell ref="A13:E13"/>
    <mergeCell ref="A19:E19"/>
    <mergeCell ref="A6:A7"/>
    <mergeCell ref="A14:A15"/>
    <mergeCell ref="A4:G4"/>
    <mergeCell ref="A25:A26"/>
  </mergeCells>
  <phoneticPr fontId="7" type="noConversion"/>
  <pageMargins left="0.51" right="0.12000000000000001" top="0" bottom="0" header="0" footer="0"/>
  <pageSetup paperSize="9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0"/>
  <sheetViews>
    <sheetView view="pageBreakPreview" zoomScaleNormal="125" zoomScaleSheetLayoutView="100" zoomScalePageLayoutView="125" workbookViewId="0">
      <selection activeCell="D14" sqref="D14"/>
    </sheetView>
  </sheetViews>
  <sheetFormatPr defaultColWidth="8.85546875" defaultRowHeight="12.75"/>
  <cols>
    <col min="1" max="1" width="9" style="207" customWidth="1"/>
    <col min="2" max="2" width="11.7109375" style="207" customWidth="1"/>
    <col min="3" max="3" width="11.140625" style="207" customWidth="1"/>
    <col min="4" max="4" width="11.28515625" style="207" customWidth="1"/>
    <col min="5" max="5" width="10.7109375" style="207" customWidth="1"/>
    <col min="6" max="6" width="13.28515625" style="207" customWidth="1"/>
    <col min="7" max="7" width="13.7109375" style="207" customWidth="1"/>
    <col min="8" max="8" width="11.140625" style="207" customWidth="1"/>
    <col min="9" max="9" width="11.28515625" style="207" customWidth="1"/>
    <col min="10" max="10" width="14.7109375" style="207" customWidth="1"/>
    <col min="11" max="16384" width="8.85546875" style="207"/>
  </cols>
  <sheetData>
    <row r="1" spans="1:16" ht="20.25">
      <c r="A1" s="1053" t="s">
        <v>19</v>
      </c>
      <c r="B1" s="1054"/>
      <c r="C1" s="1054"/>
      <c r="D1" s="1054"/>
      <c r="E1" s="1054"/>
      <c r="F1" s="1054"/>
      <c r="G1" s="1054"/>
      <c r="H1" s="1054"/>
      <c r="I1" s="1054"/>
      <c r="J1" s="1055"/>
    </row>
    <row r="2" spans="1:16" ht="38.1" customHeight="1">
      <c r="A2" s="1391" t="s">
        <v>186</v>
      </c>
      <c r="B2" s="1392"/>
      <c r="C2" s="1392"/>
      <c r="D2" s="1392"/>
      <c r="E2" s="1392"/>
      <c r="F2" s="1392"/>
      <c r="G2" s="1392"/>
      <c r="H2" s="1392"/>
      <c r="I2" s="1392"/>
      <c r="J2" s="1393"/>
    </row>
    <row r="3" spans="1:16" ht="20.25">
      <c r="A3" s="1067" t="str">
        <f>'Forside 1'!A6:I6</f>
        <v>Gældende fra 1. november 2025</v>
      </c>
      <c r="B3" s="1068"/>
      <c r="C3" s="1068"/>
      <c r="D3" s="1068"/>
      <c r="E3" s="1068"/>
      <c r="F3" s="1068"/>
      <c r="G3" s="1068"/>
      <c r="H3" s="1068"/>
      <c r="I3" s="1068"/>
      <c r="J3" s="1069"/>
    </row>
    <row r="4" spans="1:16" ht="17.100000000000001" customHeight="1">
      <c r="A4" s="1424" t="s">
        <v>368</v>
      </c>
      <c r="B4" s="1425"/>
      <c r="C4" s="1425"/>
      <c r="D4" s="1425"/>
      <c r="E4" s="1425"/>
      <c r="F4" s="1425"/>
      <c r="G4" s="1425"/>
      <c r="H4" s="1425"/>
      <c r="I4" s="1425"/>
      <c r="J4" s="1426"/>
    </row>
    <row r="5" spans="1:16" ht="8.1" customHeight="1">
      <c r="A5" s="1424" t="s">
        <v>367</v>
      </c>
      <c r="B5" s="1425"/>
      <c r="C5" s="1425"/>
      <c r="D5" s="1425"/>
      <c r="E5" s="1425"/>
      <c r="F5" s="1425"/>
      <c r="G5" s="1425"/>
      <c r="H5" s="1425"/>
      <c r="I5" s="1425"/>
      <c r="J5" s="1426"/>
      <c r="L5" s="234"/>
      <c r="M5" s="233"/>
      <c r="N5" s="233"/>
      <c r="O5" s="233"/>
      <c r="P5" s="233"/>
    </row>
    <row r="6" spans="1:16" ht="6.95" customHeight="1" thickBot="1">
      <c r="A6" s="1427"/>
      <c r="B6" s="1428"/>
      <c r="C6" s="1428"/>
      <c r="D6" s="1428"/>
      <c r="E6" s="1428"/>
      <c r="F6" s="1428"/>
      <c r="G6" s="1428"/>
      <c r="H6" s="1428"/>
      <c r="I6" s="1428"/>
      <c r="J6" s="1429"/>
      <c r="L6" s="234"/>
      <c r="M6" s="233"/>
      <c r="N6" s="233"/>
      <c r="O6" s="233"/>
      <c r="P6" s="233"/>
    </row>
    <row r="7" spans="1:16" s="249" customFormat="1" ht="18" customHeight="1" thickBot="1">
      <c r="A7" s="505"/>
      <c r="B7" s="505"/>
      <c r="C7" s="505"/>
      <c r="D7" s="505"/>
      <c r="E7" s="505"/>
      <c r="F7" s="505"/>
      <c r="G7" s="506"/>
      <c r="H7" s="506"/>
      <c r="I7" s="506"/>
      <c r="J7" s="506"/>
      <c r="L7" s="507"/>
      <c r="M7" s="259"/>
      <c r="N7" s="259"/>
      <c r="O7" s="259"/>
      <c r="P7" s="259"/>
    </row>
    <row r="8" spans="1:16" ht="21" customHeight="1" thickBot="1">
      <c r="A8" s="1394" t="s">
        <v>363</v>
      </c>
      <c r="B8" s="1395"/>
      <c r="C8" s="1395"/>
      <c r="D8" s="1395"/>
      <c r="E8" s="1395"/>
      <c r="F8" s="1396"/>
      <c r="G8" s="1285" t="s">
        <v>165</v>
      </c>
      <c r="H8" s="1286"/>
      <c r="I8" s="1286"/>
      <c r="J8" s="1287"/>
      <c r="L8" s="234"/>
      <c r="M8" s="233"/>
      <c r="N8" s="233"/>
      <c r="O8" s="233"/>
      <c r="P8" s="233"/>
    </row>
    <row r="9" spans="1:16" ht="38.25">
      <c r="A9" s="422" t="s">
        <v>57</v>
      </c>
      <c r="B9" s="422" t="s">
        <v>72</v>
      </c>
      <c r="C9" s="425" t="s">
        <v>73</v>
      </c>
      <c r="D9" s="422" t="s">
        <v>74</v>
      </c>
      <c r="E9" s="422" t="s">
        <v>75</v>
      </c>
      <c r="F9" s="422" t="s">
        <v>76</v>
      </c>
      <c r="G9" s="426" t="s">
        <v>182</v>
      </c>
      <c r="H9" s="427" t="s">
        <v>183</v>
      </c>
      <c r="I9" s="427" t="s">
        <v>184</v>
      </c>
      <c r="J9" s="428">
        <v>0.15</v>
      </c>
    </row>
    <row r="10" spans="1:16" ht="15.95" customHeight="1">
      <c r="A10" s="285">
        <v>14</v>
      </c>
      <c r="B10" s="568">
        <f>'Statens skalatrin'!D46</f>
        <v>23692.92</v>
      </c>
      <c r="C10" s="568">
        <f>'Statens skalatrin'!F46</f>
        <v>24186.33</v>
      </c>
      <c r="D10" s="568">
        <f>'Statens skalatrin'!H46</f>
        <v>24527.83</v>
      </c>
      <c r="E10" s="568">
        <f>'Statens skalatrin'!J46</f>
        <v>25021.17</v>
      </c>
      <c r="F10" s="568">
        <f>'Statens skalatrin'!L46</f>
        <v>25362.67</v>
      </c>
      <c r="G10" s="1414">
        <f>'Statens skalatrin'!O46+(F21/12)</f>
        <v>22563.300833333335</v>
      </c>
      <c r="H10" s="1414">
        <f>ROUND(J10*1/3,2)</f>
        <v>1128.17</v>
      </c>
      <c r="I10" s="1414">
        <f>ROUND(J10*2/3,2)</f>
        <v>2256.33</v>
      </c>
      <c r="J10" s="1414">
        <f>ROUND(G10*$J$9,2)</f>
        <v>3384.5</v>
      </c>
    </row>
    <row r="11" spans="1:16" ht="15.95" customHeight="1">
      <c r="A11" s="339" t="s">
        <v>195</v>
      </c>
      <c r="B11" s="442">
        <f>B10+($F$21/12)</f>
        <v>24104.090833333332</v>
      </c>
      <c r="C11" s="442">
        <f t="shared" ref="C11:F11" si="0">C10+($F$21/12)</f>
        <v>24597.500833333335</v>
      </c>
      <c r="D11" s="442">
        <f t="shared" si="0"/>
        <v>24939.000833333335</v>
      </c>
      <c r="E11" s="442">
        <f t="shared" si="0"/>
        <v>25432.340833333332</v>
      </c>
      <c r="F11" s="442">
        <f t="shared" si="0"/>
        <v>25773.840833333332</v>
      </c>
      <c r="G11" s="1415"/>
      <c r="H11" s="1415"/>
      <c r="I11" s="1415"/>
      <c r="J11" s="1415"/>
    </row>
    <row r="12" spans="1:16" ht="15.95" customHeight="1">
      <c r="A12" s="285">
        <v>17</v>
      </c>
      <c r="B12" s="442">
        <f>'Statens skalatrin'!D55</f>
        <v>24878.92</v>
      </c>
      <c r="C12" s="442">
        <f>'Statens skalatrin'!F55</f>
        <v>25410.75</v>
      </c>
      <c r="D12" s="569">
        <f>'Statens skalatrin'!H55</f>
        <v>25778.92</v>
      </c>
      <c r="E12" s="442">
        <f>'Statens skalatrin'!J55</f>
        <v>26310.67</v>
      </c>
      <c r="F12" s="442">
        <f>'Statens skalatrin'!L55</f>
        <v>26678.58</v>
      </c>
      <c r="G12" s="1414">
        <f>'Statens skalatrin'!O55+(F22/12)</f>
        <v>23603.704166666666</v>
      </c>
      <c r="H12" s="1414">
        <f>ROUND(J12*1/3,2)</f>
        <v>1180.19</v>
      </c>
      <c r="I12" s="1414">
        <f>ROUND(J12*2/3,2)</f>
        <v>2360.37</v>
      </c>
      <c r="J12" s="1414">
        <f>ROUND(G12*$J$9,2)</f>
        <v>3540.56</v>
      </c>
    </row>
    <row r="13" spans="1:16" ht="15.95" customHeight="1">
      <c r="A13" s="781" t="s">
        <v>423</v>
      </c>
      <c r="B13" s="569">
        <f>B12+($F$22/12)</f>
        <v>25116.254166666666</v>
      </c>
      <c r="C13" s="569">
        <f>C12+($F$22/12)</f>
        <v>25648.084166666667</v>
      </c>
      <c r="D13" s="569">
        <f>D12+($F$22/12)</f>
        <v>26016.254166666666</v>
      </c>
      <c r="E13" s="569">
        <f>E12+($F$22/12)</f>
        <v>26548.004166666666</v>
      </c>
      <c r="F13" s="569">
        <f>F12+($F$22/12)</f>
        <v>26915.914166666669</v>
      </c>
      <c r="G13" s="1415"/>
      <c r="H13" s="1415"/>
      <c r="I13" s="1415"/>
      <c r="J13" s="1415"/>
    </row>
    <row r="14" spans="1:16" ht="15.95" customHeight="1">
      <c r="A14" s="781">
        <v>21</v>
      </c>
      <c r="B14" s="569">
        <f>'Statens skalatrin'!D67</f>
        <v>26459.83</v>
      </c>
      <c r="C14" s="569">
        <f>'Statens skalatrin'!F67</f>
        <v>27047.83</v>
      </c>
      <c r="D14" s="569">
        <f>'Statens skalatrin'!H67</f>
        <v>27454.92</v>
      </c>
      <c r="E14" s="569">
        <f>'Statens skalatrin'!J67</f>
        <v>28043</v>
      </c>
      <c r="F14" s="569">
        <f>'Statens skalatrin'!L67</f>
        <v>28450.080000000002</v>
      </c>
      <c r="G14" s="1414">
        <f>'Statens skalatrin'!O67+(F23/12)</f>
        <v>25517.904166666667</v>
      </c>
      <c r="H14" s="1414">
        <f>ROUND(J14*1/3,2)</f>
        <v>1275.9000000000001</v>
      </c>
      <c r="I14" s="1414">
        <f>ROUND(J14*2/3,2)</f>
        <v>2551.79</v>
      </c>
      <c r="J14" s="1414">
        <f>ROUND(G14*$J$9,2)</f>
        <v>3827.69</v>
      </c>
    </row>
    <row r="15" spans="1:16" ht="15.95" customHeight="1" thickBot="1">
      <c r="A15" s="782" t="s">
        <v>388</v>
      </c>
      <c r="B15" s="570">
        <f>B14+($F$23/12)</f>
        <v>26830.404166666667</v>
      </c>
      <c r="C15" s="570">
        <f>C14+($F$23/12)</f>
        <v>27418.404166666667</v>
      </c>
      <c r="D15" s="570">
        <f>D14+($F$23/12)</f>
        <v>27825.494166666664</v>
      </c>
      <c r="E15" s="570">
        <f>E14+($F$23/12)</f>
        <v>28413.574166666665</v>
      </c>
      <c r="F15" s="570">
        <f>F14+($F$23/12)</f>
        <v>28820.654166666667</v>
      </c>
      <c r="G15" s="1417"/>
      <c r="H15" s="1417"/>
      <c r="I15" s="1417"/>
      <c r="J15" s="1417"/>
    </row>
    <row r="16" spans="1:16" ht="17.100000000000001" customHeight="1" thickBot="1">
      <c r="A16" s="233"/>
      <c r="B16" s="227"/>
      <c r="C16" s="227"/>
      <c r="D16" s="227"/>
      <c r="E16" s="227"/>
      <c r="F16" s="227"/>
      <c r="G16" s="250"/>
      <c r="H16" s="251"/>
      <c r="I16" s="252"/>
      <c r="J16" s="252"/>
    </row>
    <row r="17" spans="1:10" ht="21" customHeight="1">
      <c r="A17" s="944" t="s">
        <v>160</v>
      </c>
      <c r="B17" s="945"/>
      <c r="C17" s="945"/>
      <c r="D17" s="945"/>
      <c r="E17" s="945"/>
      <c r="F17" s="946"/>
      <c r="G17" s="201"/>
      <c r="H17" s="201"/>
      <c r="I17" s="201"/>
      <c r="J17" s="223"/>
    </row>
    <row r="18" spans="1:10" ht="21" customHeight="1" thickBot="1">
      <c r="A18" s="999" t="s">
        <v>424</v>
      </c>
      <c r="B18" s="1000"/>
      <c r="C18" s="1000"/>
      <c r="D18" s="1000"/>
      <c r="E18" s="1000"/>
      <c r="F18" s="1001"/>
      <c r="G18" s="201"/>
      <c r="H18" s="201"/>
      <c r="I18" s="201"/>
      <c r="J18" s="223"/>
    </row>
    <row r="19" spans="1:10" ht="27" customHeight="1">
      <c r="A19" s="1438" t="s">
        <v>422</v>
      </c>
      <c r="B19" s="1439"/>
      <c r="C19" s="1439"/>
      <c r="D19" s="1439"/>
      <c r="E19" s="766" t="s">
        <v>128</v>
      </c>
      <c r="F19" s="767" t="s">
        <v>292</v>
      </c>
      <c r="G19" s="244"/>
      <c r="H19" s="233"/>
      <c r="I19" s="233"/>
      <c r="J19" s="223"/>
    </row>
    <row r="20" spans="1:10" ht="15" customHeight="1">
      <c r="A20" s="1371"/>
      <c r="B20" s="1372"/>
      <c r="C20" s="1372"/>
      <c r="D20" s="1372"/>
      <c r="E20" s="508">
        <v>40999</v>
      </c>
      <c r="F20" s="770" t="str">
        <f>'Løntabel gældende fra'!D1</f>
        <v>01/11/25</v>
      </c>
      <c r="G20" s="244"/>
      <c r="H20" s="233"/>
      <c r="I20" s="233"/>
      <c r="J20" s="223"/>
    </row>
    <row r="21" spans="1:10" ht="15" customHeight="1">
      <c r="A21" s="1381" t="s">
        <v>386</v>
      </c>
      <c r="B21" s="1382"/>
      <c r="C21" s="1382"/>
      <c r="D21" s="1416"/>
      <c r="E21" s="779">
        <v>3950</v>
      </c>
      <c r="F21" s="780">
        <f>ROUND(E21+(E21*'Løntabel gældende fra'!$D$7%),2)</f>
        <v>4934.05</v>
      </c>
      <c r="G21" s="244"/>
      <c r="H21" s="233"/>
      <c r="I21" s="233"/>
      <c r="J21" s="223"/>
    </row>
    <row r="22" spans="1:10" ht="15.95" customHeight="1">
      <c r="A22" s="1381" t="s">
        <v>421</v>
      </c>
      <c r="B22" s="1382"/>
      <c r="C22" s="1382"/>
      <c r="D22" s="1416"/>
      <c r="E22" s="779">
        <v>2280</v>
      </c>
      <c r="F22" s="780">
        <f>ROUND(E22+(E22*'Løntabel gældende fra'!$D$7%),2)</f>
        <v>2848.01</v>
      </c>
      <c r="G22" s="244"/>
      <c r="H22" s="233"/>
      <c r="I22" s="233"/>
      <c r="J22" s="223"/>
    </row>
    <row r="23" spans="1:10" ht="15.95" customHeight="1" thickBot="1">
      <c r="A23" s="1374" t="s">
        <v>387</v>
      </c>
      <c r="B23" s="1375"/>
      <c r="C23" s="1375"/>
      <c r="D23" s="1448"/>
      <c r="E23" s="807">
        <v>3560</v>
      </c>
      <c r="F23" s="808">
        <f>ROUND(E23+(E23*'Løntabel gældende fra'!$D$7%),2)</f>
        <v>4446.8900000000003</v>
      </c>
      <c r="G23" s="244"/>
      <c r="H23" s="233"/>
      <c r="I23" s="233"/>
      <c r="J23" s="223"/>
    </row>
    <row r="24" spans="1:10" ht="15.95" customHeight="1" thickBot="1">
      <c r="A24" s="1449"/>
      <c r="B24" s="1450"/>
      <c r="C24" s="1450"/>
      <c r="D24" s="1450"/>
      <c r="E24" s="1450"/>
      <c r="F24" s="1450"/>
      <c r="G24" s="1450"/>
      <c r="H24" s="1450"/>
      <c r="I24" s="1450"/>
      <c r="J24" s="1450"/>
    </row>
    <row r="25" spans="1:10" s="223" customFormat="1" ht="27" customHeight="1">
      <c r="A25" s="1007" t="s">
        <v>188</v>
      </c>
      <c r="B25" s="1080"/>
      <c r="C25" s="1080"/>
      <c r="D25" s="1080"/>
      <c r="E25" s="1080"/>
      <c r="F25" s="1080"/>
      <c r="G25" s="1081"/>
    </row>
    <row r="26" spans="1:10" s="223" customFormat="1" ht="15.95" customHeight="1" thickBot="1">
      <c r="A26" s="934" t="s">
        <v>266</v>
      </c>
      <c r="B26" s="935"/>
      <c r="C26" s="935"/>
      <c r="D26" s="935"/>
      <c r="E26" s="935"/>
      <c r="F26" s="935"/>
      <c r="G26" s="936"/>
    </row>
    <row r="27" spans="1:10" s="223" customFormat="1" ht="15.75">
      <c r="A27" s="1301"/>
      <c r="B27" s="1302"/>
      <c r="C27" s="1303"/>
      <c r="D27" s="1353" t="s">
        <v>293</v>
      </c>
      <c r="E27" s="1353"/>
      <c r="F27" s="1283" t="s">
        <v>294</v>
      </c>
      <c r="G27" s="1284"/>
    </row>
    <row r="28" spans="1:10" s="223" customFormat="1" ht="12.95" customHeight="1" thickBot="1">
      <c r="A28" s="1304"/>
      <c r="B28" s="1305"/>
      <c r="C28" s="1306"/>
      <c r="D28" s="1290">
        <v>40999</v>
      </c>
      <c r="E28" s="1291"/>
      <c r="F28" s="1281" t="str">
        <f>'Løntabel gældende fra'!$D$1</f>
        <v>01/11/25</v>
      </c>
      <c r="G28" s="1282"/>
    </row>
    <row r="29" spans="1:10" s="223" customFormat="1" ht="15.95" customHeight="1" thickBot="1">
      <c r="A29" s="1418" t="s">
        <v>159</v>
      </c>
      <c r="B29" s="1419"/>
      <c r="C29" s="1420"/>
      <c r="D29" s="1421">
        <v>148</v>
      </c>
      <c r="E29" s="1422"/>
      <c r="F29" s="1423">
        <f>ROUND(+D29*(1+'Løntabel gældende fra'!$D$7/100),2)</f>
        <v>184.87</v>
      </c>
      <c r="G29" s="1422"/>
    </row>
    <row r="30" spans="1:10" ht="15" customHeight="1" thickBot="1">
      <c r="A30" s="242"/>
      <c r="B30" s="241"/>
      <c r="C30" s="241"/>
      <c r="D30" s="241"/>
      <c r="E30" s="241"/>
      <c r="F30" s="241"/>
      <c r="G30" s="233"/>
      <c r="H30" s="232"/>
      <c r="I30" s="232"/>
      <c r="J30" s="223"/>
    </row>
    <row r="31" spans="1:10" s="223" customFormat="1" ht="27" customHeight="1">
      <c r="A31" s="1007" t="s">
        <v>376</v>
      </c>
      <c r="B31" s="1080"/>
      <c r="C31" s="1080"/>
      <c r="D31" s="1080"/>
      <c r="E31" s="1080"/>
      <c r="F31" s="1080"/>
      <c r="G31" s="1081"/>
    </row>
    <row r="32" spans="1:10" s="223" customFormat="1" ht="15.95" customHeight="1" thickBot="1">
      <c r="A32" s="934" t="s">
        <v>266</v>
      </c>
      <c r="B32" s="935"/>
      <c r="C32" s="935"/>
      <c r="D32" s="935"/>
      <c r="E32" s="935"/>
      <c r="F32" s="935"/>
      <c r="G32" s="936"/>
    </row>
    <row r="33" spans="1:10" s="223" customFormat="1" ht="15.75">
      <c r="A33" s="1301"/>
      <c r="B33" s="1302"/>
      <c r="C33" s="1303"/>
      <c r="D33" s="1353" t="s">
        <v>293</v>
      </c>
      <c r="E33" s="1353"/>
      <c r="F33" s="1283" t="s">
        <v>294</v>
      </c>
      <c r="G33" s="1284"/>
    </row>
    <row r="34" spans="1:10" s="223" customFormat="1" ht="12.95" customHeight="1" thickBot="1">
      <c r="A34" s="1304"/>
      <c r="B34" s="1305"/>
      <c r="C34" s="1306"/>
      <c r="D34" s="1290">
        <v>40999</v>
      </c>
      <c r="E34" s="1291"/>
      <c r="F34" s="1281" t="str">
        <f>'Løntabel gældende fra'!$D$1</f>
        <v>01/11/25</v>
      </c>
      <c r="G34" s="1282"/>
    </row>
    <row r="35" spans="1:10" s="223" customFormat="1" ht="15.95" customHeight="1">
      <c r="A35" s="1432" t="s">
        <v>155</v>
      </c>
      <c r="B35" s="1433"/>
      <c r="C35" s="1434"/>
      <c r="D35" s="1412">
        <f>D29*66%</f>
        <v>97.68</v>
      </c>
      <c r="E35" s="1413"/>
      <c r="F35" s="1412">
        <f>F29*66%</f>
        <v>122.0142</v>
      </c>
      <c r="G35" s="1413"/>
    </row>
    <row r="36" spans="1:10" s="223" customFormat="1" ht="15.95" customHeight="1" thickBot="1">
      <c r="A36" s="1292" t="s">
        <v>156</v>
      </c>
      <c r="B36" s="1293"/>
      <c r="C36" s="1294"/>
      <c r="D36" s="1451">
        <f>D29*74%</f>
        <v>109.52</v>
      </c>
      <c r="E36" s="1452"/>
      <c r="F36" s="1451">
        <f>F29*74%</f>
        <v>136.8038</v>
      </c>
      <c r="G36" s="1452"/>
    </row>
    <row r="37" spans="1:10" ht="15" customHeight="1" thickBot="1">
      <c r="A37" s="242"/>
      <c r="B37" s="241"/>
      <c r="C37" s="241"/>
      <c r="D37" s="241"/>
      <c r="E37" s="241"/>
      <c r="F37" s="241"/>
      <c r="G37" s="233"/>
      <c r="H37" s="232"/>
      <c r="I37" s="232"/>
      <c r="J37" s="223"/>
    </row>
    <row r="38" spans="1:10" ht="20.100000000000001" customHeight="1">
      <c r="A38" s="944" t="s">
        <v>169</v>
      </c>
      <c r="B38" s="945"/>
      <c r="C38" s="945"/>
      <c r="D38" s="945"/>
      <c r="E38" s="945"/>
      <c r="F38" s="945"/>
      <c r="G38" s="945"/>
      <c r="H38" s="945"/>
      <c r="I38" s="946"/>
      <c r="J38" s="223"/>
    </row>
    <row r="39" spans="1:10" ht="20.100000000000001" customHeight="1" thickBot="1">
      <c r="A39" s="999" t="s">
        <v>266</v>
      </c>
      <c r="B39" s="1000"/>
      <c r="C39" s="1000"/>
      <c r="D39" s="1000"/>
      <c r="E39" s="1000"/>
      <c r="F39" s="1000"/>
      <c r="G39" s="1000"/>
      <c r="H39" s="1000"/>
      <c r="I39" s="1001"/>
      <c r="J39" s="223"/>
    </row>
    <row r="40" spans="1:10" ht="27" customHeight="1" thickBot="1">
      <c r="A40" s="1430"/>
      <c r="B40" s="1431"/>
      <c r="C40" s="1431"/>
      <c r="D40" s="1431"/>
      <c r="E40" s="1431"/>
      <c r="F40" s="1431"/>
      <c r="G40" s="1431"/>
      <c r="H40" s="561" t="s">
        <v>293</v>
      </c>
      <c r="I40" s="564" t="s">
        <v>294</v>
      </c>
      <c r="J40" s="223"/>
    </row>
    <row r="41" spans="1:10" ht="15" customHeight="1" thickBot="1">
      <c r="A41" s="1378"/>
      <c r="B41" s="1379"/>
      <c r="C41" s="1379"/>
      <c r="D41" s="1379"/>
      <c r="E41" s="1379"/>
      <c r="F41" s="1379"/>
      <c r="G41" s="1380"/>
      <c r="H41" s="511">
        <v>40999</v>
      </c>
      <c r="I41" s="512" t="str">
        <f>'Løntabel gældende fra'!D1</f>
        <v>01/11/25</v>
      </c>
      <c r="J41" s="223"/>
    </row>
    <row r="42" spans="1:10" ht="15" customHeight="1">
      <c r="A42" s="1381" t="s">
        <v>170</v>
      </c>
      <c r="B42" s="1382"/>
      <c r="C42" s="1382"/>
      <c r="D42" s="1382"/>
      <c r="E42" s="1382"/>
      <c r="F42" s="228"/>
      <c r="G42" s="230" t="s">
        <v>162</v>
      </c>
      <c r="H42" s="292">
        <v>22.32</v>
      </c>
      <c r="I42" s="745">
        <f>ROUND(H42+(H42*'Løntabel gældende fra'!$D$7%),2)</f>
        <v>27.88</v>
      </c>
      <c r="J42" s="223"/>
    </row>
    <row r="43" spans="1:10" ht="15" customHeight="1">
      <c r="A43" s="1389" t="s">
        <v>171</v>
      </c>
      <c r="B43" s="1390"/>
      <c r="C43" s="1390"/>
      <c r="D43" s="1390"/>
      <c r="E43" s="1390"/>
      <c r="F43" s="248"/>
      <c r="G43" s="231" t="s">
        <v>162</v>
      </c>
      <c r="H43" s="294">
        <v>39.92</v>
      </c>
      <c r="I43" s="746">
        <f>ROUND(H43+(H43*'Løntabel gældende fra'!$D$7%),2)</f>
        <v>49.87</v>
      </c>
      <c r="J43" s="223"/>
    </row>
    <row r="44" spans="1:10" ht="26.1" customHeight="1">
      <c r="A44" s="1381" t="s">
        <v>172</v>
      </c>
      <c r="B44" s="1382"/>
      <c r="C44" s="1382"/>
      <c r="D44" s="1382"/>
      <c r="E44" s="1382"/>
      <c r="F44" s="1382"/>
      <c r="G44" s="231" t="s">
        <v>162</v>
      </c>
      <c r="H44" s="294">
        <v>39.92</v>
      </c>
      <c r="I44" s="746">
        <f>ROUND(H44+(H44*'Løntabel gældende fra'!$D$7%),2)</f>
        <v>49.87</v>
      </c>
      <c r="J44" s="223"/>
    </row>
    <row r="45" spans="1:10" ht="15" customHeight="1" thickBot="1">
      <c r="A45" s="261" t="s">
        <v>161</v>
      </c>
      <c r="B45" s="260"/>
      <c r="C45" s="260"/>
      <c r="D45" s="260"/>
      <c r="E45" s="245"/>
      <c r="F45" s="245"/>
      <c r="G45" s="255" t="s">
        <v>162</v>
      </c>
      <c r="H45" s="296">
        <v>39.92</v>
      </c>
      <c r="I45" s="747">
        <f>ROUND(H45+(H45*'Løntabel gældende fra'!$D$7%),2)</f>
        <v>49.87</v>
      </c>
      <c r="J45" s="223"/>
    </row>
    <row r="46" spans="1:10" ht="15" customHeight="1" thickBot="1">
      <c r="A46" s="254"/>
      <c r="B46" s="254"/>
      <c r="C46" s="254"/>
      <c r="D46" s="254"/>
      <c r="E46" s="254"/>
      <c r="F46" s="254"/>
      <c r="G46" s="254"/>
      <c r="H46" s="218"/>
      <c r="I46" s="253"/>
      <c r="J46" s="223"/>
    </row>
    <row r="47" spans="1:10" ht="21" customHeight="1">
      <c r="A47" s="944" t="s">
        <v>276</v>
      </c>
      <c r="B47" s="945"/>
      <c r="C47" s="945"/>
      <c r="D47" s="945"/>
      <c r="E47" s="945"/>
      <c r="F47" s="945"/>
      <c r="G47" s="945"/>
      <c r="H47" s="945"/>
      <c r="I47" s="946"/>
      <c r="J47" s="233"/>
    </row>
    <row r="48" spans="1:10" ht="21" customHeight="1" thickBot="1">
      <c r="A48" s="999" t="s">
        <v>262</v>
      </c>
      <c r="B48" s="1000"/>
      <c r="C48" s="1000"/>
      <c r="D48" s="1000"/>
      <c r="E48" s="1000"/>
      <c r="F48" s="1000"/>
      <c r="G48" s="1000"/>
      <c r="H48" s="1000"/>
      <c r="I48" s="1001"/>
      <c r="J48" s="233"/>
    </row>
    <row r="49" spans="1:10" ht="27" customHeight="1" thickBot="1">
      <c r="A49" s="1435"/>
      <c r="B49" s="1436"/>
      <c r="C49" s="1436"/>
      <c r="D49" s="1436"/>
      <c r="E49" s="1436"/>
      <c r="F49" s="1436"/>
      <c r="G49" s="1437"/>
      <c r="H49" s="561" t="s">
        <v>293</v>
      </c>
      <c r="I49" s="564" t="s">
        <v>294</v>
      </c>
      <c r="J49" s="233"/>
    </row>
    <row r="50" spans="1:10" ht="15" customHeight="1" thickBot="1">
      <c r="A50" s="1435"/>
      <c r="B50" s="1436"/>
      <c r="C50" s="1436"/>
      <c r="D50" s="1436"/>
      <c r="E50" s="1436"/>
      <c r="F50" s="1436"/>
      <c r="G50" s="1437"/>
      <c r="H50" s="511">
        <v>40999</v>
      </c>
      <c r="I50" s="512" t="str">
        <f>'Løntabel gældende fra'!D1</f>
        <v>01/11/25</v>
      </c>
      <c r="J50" s="233"/>
    </row>
    <row r="51" spans="1:10" ht="15" customHeight="1" thickBot="1">
      <c r="A51" s="1125" t="s">
        <v>174</v>
      </c>
      <c r="B51" s="1126"/>
      <c r="C51" s="1126"/>
      <c r="D51" s="1126"/>
      <c r="E51" s="1126"/>
      <c r="F51" s="513"/>
      <c r="G51" s="514" t="s">
        <v>162</v>
      </c>
      <c r="H51" s="298">
        <v>6.88</v>
      </c>
      <c r="I51" s="291">
        <f>ROUND(H51+(H51*'Løntabel gældende fra'!D7%),2)</f>
        <v>8.59</v>
      </c>
      <c r="J51" s="233"/>
    </row>
    <row r="52" spans="1:10" ht="15" customHeight="1" thickBot="1">
      <c r="A52" s="1447"/>
      <c r="B52" s="1447"/>
      <c r="C52" s="1447"/>
      <c r="D52" s="1447"/>
      <c r="E52" s="1447"/>
      <c r="F52" s="1447"/>
      <c r="G52" s="1447"/>
      <c r="H52" s="1447"/>
      <c r="I52" s="1447"/>
      <c r="J52" s="233"/>
    </row>
    <row r="53" spans="1:10" ht="21" customHeight="1">
      <c r="A53" s="944" t="s">
        <v>175</v>
      </c>
      <c r="B53" s="945"/>
      <c r="C53" s="945"/>
      <c r="D53" s="945"/>
      <c r="E53" s="945"/>
      <c r="F53" s="945"/>
      <c r="G53" s="945"/>
      <c r="H53" s="945"/>
      <c r="I53" s="946"/>
      <c r="J53" s="233"/>
    </row>
    <row r="54" spans="1:10" ht="21" customHeight="1" thickBot="1">
      <c r="A54" s="999" t="s">
        <v>266</v>
      </c>
      <c r="B54" s="1000"/>
      <c r="C54" s="1000"/>
      <c r="D54" s="1000"/>
      <c r="E54" s="1000"/>
      <c r="F54" s="1000"/>
      <c r="G54" s="1000"/>
      <c r="H54" s="1000"/>
      <c r="I54" s="1001"/>
      <c r="J54" s="233"/>
    </row>
    <row r="55" spans="1:10" ht="30" customHeight="1">
      <c r="A55" s="1441"/>
      <c r="B55" s="1442"/>
      <c r="C55" s="1442"/>
      <c r="D55" s="1442"/>
      <c r="E55" s="1442"/>
      <c r="F55" s="1442"/>
      <c r="G55" s="1443"/>
      <c r="H55" s="561" t="s">
        <v>128</v>
      </c>
      <c r="I55" s="562" t="s">
        <v>292</v>
      </c>
      <c r="J55" s="233"/>
    </row>
    <row r="56" spans="1:10" ht="15" customHeight="1" thickBot="1">
      <c r="A56" s="1444"/>
      <c r="B56" s="1445"/>
      <c r="C56" s="1445"/>
      <c r="D56" s="1445"/>
      <c r="E56" s="1445"/>
      <c r="F56" s="1445"/>
      <c r="G56" s="1446"/>
      <c r="H56" s="511">
        <v>40999</v>
      </c>
      <c r="I56" s="512" t="str">
        <f>'Løntabel gældende fra'!D1</f>
        <v>01/11/25</v>
      </c>
      <c r="J56" s="233"/>
    </row>
    <row r="57" spans="1:10" ht="15" customHeight="1" thickBot="1">
      <c r="A57" s="1125" t="s">
        <v>187</v>
      </c>
      <c r="B57" s="1126"/>
      <c r="C57" s="1126"/>
      <c r="D57" s="1126"/>
      <c r="E57" s="1126"/>
      <c r="F57" s="513"/>
      <c r="G57" s="514"/>
      <c r="H57" s="298">
        <v>655</v>
      </c>
      <c r="I57" s="291">
        <f>ROUND(H57+(H57*'Løntabel gældende fra'!D7%),2)</f>
        <v>818.18</v>
      </c>
      <c r="J57" s="233"/>
    </row>
    <row r="58" spans="1:10" ht="15" customHeight="1" thickBot="1">
      <c r="A58" s="223"/>
      <c r="B58" s="223"/>
      <c r="C58" s="223"/>
      <c r="D58" s="223"/>
      <c r="E58" s="223"/>
      <c r="F58" s="224"/>
      <c r="G58" s="223"/>
      <c r="H58" s="224"/>
      <c r="I58" s="223"/>
      <c r="J58" s="233"/>
    </row>
    <row r="59" spans="1:10" ht="21" customHeight="1">
      <c r="A59" s="944" t="s">
        <v>277</v>
      </c>
      <c r="B59" s="945"/>
      <c r="C59" s="945"/>
      <c r="D59" s="945"/>
      <c r="E59" s="945"/>
      <c r="F59" s="945"/>
      <c r="G59" s="945"/>
      <c r="H59" s="945"/>
      <c r="I59" s="946"/>
      <c r="J59" s="233"/>
    </row>
    <row r="60" spans="1:10" ht="21" customHeight="1" thickBot="1">
      <c r="A60" s="999" t="s">
        <v>262</v>
      </c>
      <c r="B60" s="1000"/>
      <c r="C60" s="1000"/>
      <c r="D60" s="1000"/>
      <c r="E60" s="1000"/>
      <c r="F60" s="1000"/>
      <c r="G60" s="1000"/>
      <c r="H60" s="1000"/>
      <c r="I60" s="1001"/>
      <c r="J60" s="233"/>
    </row>
    <row r="61" spans="1:10" ht="15" customHeight="1">
      <c r="A61" s="1438" t="s">
        <v>178</v>
      </c>
      <c r="B61" s="1439"/>
      <c r="C61" s="1439"/>
      <c r="D61" s="1439"/>
      <c r="E61" s="1439"/>
      <c r="F61" s="1439"/>
      <c r="G61" s="1440"/>
      <c r="H61" s="509" t="s">
        <v>95</v>
      </c>
      <c r="I61" s="510" t="s">
        <v>100</v>
      </c>
      <c r="J61" s="233"/>
    </row>
    <row r="62" spans="1:10" ht="15" customHeight="1" thickBot="1">
      <c r="A62" s="1371"/>
      <c r="B62" s="1372"/>
      <c r="C62" s="1372"/>
      <c r="D62" s="1372"/>
      <c r="E62" s="1372"/>
      <c r="F62" s="1372"/>
      <c r="G62" s="1373"/>
      <c r="H62" s="511">
        <v>40999</v>
      </c>
      <c r="I62" s="512" t="str">
        <f>'Løntabel gældende fra'!D1</f>
        <v>01/11/25</v>
      </c>
      <c r="J62" s="233"/>
    </row>
    <row r="63" spans="1:10" ht="15" customHeight="1" thickBot="1">
      <c r="A63" s="1374" t="s">
        <v>177</v>
      </c>
      <c r="B63" s="1375"/>
      <c r="C63" s="1375"/>
      <c r="D63" s="1375"/>
      <c r="E63" s="1375"/>
      <c r="F63" s="229"/>
      <c r="G63" s="240"/>
      <c r="H63" s="298">
        <v>0</v>
      </c>
      <c r="I63" s="291">
        <v>0</v>
      </c>
      <c r="J63" s="233"/>
    </row>
    <row r="64" spans="1:10" ht="15" customHeight="1" thickBot="1">
      <c r="A64" s="223"/>
      <c r="B64" s="223"/>
      <c r="C64" s="223"/>
      <c r="D64" s="223"/>
      <c r="E64" s="223"/>
      <c r="F64" s="224"/>
      <c r="G64" s="223"/>
      <c r="H64" s="224"/>
      <c r="I64" s="223"/>
      <c r="J64" s="233"/>
    </row>
    <row r="65" spans="1:9" s="233" customFormat="1" ht="18">
      <c r="A65" s="944" t="s">
        <v>278</v>
      </c>
      <c r="B65" s="945"/>
      <c r="C65" s="945"/>
      <c r="D65" s="945"/>
      <c r="E65" s="945"/>
      <c r="F65" s="945"/>
      <c r="G65" s="945"/>
      <c r="H65" s="945"/>
      <c r="I65" s="946"/>
    </row>
    <row r="66" spans="1:9" s="233" customFormat="1" ht="15.75" thickBot="1">
      <c r="A66" s="999" t="s">
        <v>262</v>
      </c>
      <c r="B66" s="1000"/>
      <c r="C66" s="1000"/>
      <c r="D66" s="1000"/>
      <c r="E66" s="1000"/>
      <c r="F66" s="1000"/>
      <c r="G66" s="1000"/>
      <c r="H66" s="1000"/>
      <c r="I66" s="1001"/>
    </row>
    <row r="67" spans="1:9" s="233" customFormat="1" ht="25.5">
      <c r="A67" s="1122"/>
      <c r="B67" s="1123"/>
      <c r="C67" s="1123"/>
      <c r="D67" s="1123"/>
      <c r="E67" s="1123"/>
      <c r="F67" s="1123"/>
      <c r="G67" s="1124"/>
      <c r="H67" s="561" t="s">
        <v>128</v>
      </c>
      <c r="I67" s="562" t="s">
        <v>292</v>
      </c>
    </row>
    <row r="68" spans="1:9" s="233" customFormat="1" ht="15" thickBot="1">
      <c r="A68" s="1438"/>
      <c r="B68" s="1439"/>
      <c r="C68" s="1439"/>
      <c r="D68" s="1439"/>
      <c r="E68" s="1439"/>
      <c r="F68" s="1439"/>
      <c r="G68" s="1440"/>
      <c r="H68" s="511">
        <v>40999</v>
      </c>
      <c r="I68" s="512" t="str">
        <f>'Løntabel gældende fra'!D1</f>
        <v>01/11/25</v>
      </c>
    </row>
    <row r="69" spans="1:9" s="233" customFormat="1" ht="15" thickBot="1">
      <c r="A69" s="1125" t="s">
        <v>181</v>
      </c>
      <c r="B69" s="1126"/>
      <c r="C69" s="1126"/>
      <c r="D69" s="1126"/>
      <c r="E69" s="1126"/>
      <c r="F69" s="513"/>
      <c r="G69" s="514"/>
      <c r="H69" s="298">
        <v>10500</v>
      </c>
      <c r="I69" s="299">
        <f>ROUND(H69+(H69*'Løntabel gældende fra'!D7%),2)</f>
        <v>13115.82</v>
      </c>
    </row>
    <row r="70" spans="1:9" s="259" customFormat="1" ht="14.25">
      <c r="A70" s="256"/>
      <c r="B70" s="256"/>
      <c r="C70" s="256"/>
      <c r="D70" s="256"/>
      <c r="E70" s="256"/>
      <c r="F70" s="244"/>
      <c r="G70" s="244"/>
      <c r="H70" s="257"/>
      <c r="I70" s="258"/>
    </row>
  </sheetData>
  <sheetProtection sheet="1" objects="1" scenarios="1"/>
  <mergeCells count="72">
    <mergeCell ref="J14:J15"/>
    <mergeCell ref="A38:I38"/>
    <mergeCell ref="A19:D20"/>
    <mergeCell ref="A23:D23"/>
    <mergeCell ref="A24:J24"/>
    <mergeCell ref="A31:G31"/>
    <mergeCell ref="A32:G32"/>
    <mergeCell ref="A21:D21"/>
    <mergeCell ref="A33:C34"/>
    <mergeCell ref="D33:E33"/>
    <mergeCell ref="F33:G33"/>
    <mergeCell ref="D34:E34"/>
    <mergeCell ref="F34:G34"/>
    <mergeCell ref="A36:C36"/>
    <mergeCell ref="D36:E36"/>
    <mergeCell ref="F36:G36"/>
    <mergeCell ref="A35:C35"/>
    <mergeCell ref="A69:E69"/>
    <mergeCell ref="A57:E57"/>
    <mergeCell ref="A63:E63"/>
    <mergeCell ref="A47:I47"/>
    <mergeCell ref="A49:G50"/>
    <mergeCell ref="A51:E51"/>
    <mergeCell ref="A65:I65"/>
    <mergeCell ref="A67:G68"/>
    <mergeCell ref="A60:I60"/>
    <mergeCell ref="A66:I66"/>
    <mergeCell ref="A61:G62"/>
    <mergeCell ref="A55:G56"/>
    <mergeCell ref="A59:I59"/>
    <mergeCell ref="A52:I52"/>
    <mergeCell ref="A39:I39"/>
    <mergeCell ref="A48:I48"/>
    <mergeCell ref="A54:I54"/>
    <mergeCell ref="A40:G41"/>
    <mergeCell ref="A42:E42"/>
    <mergeCell ref="A43:E43"/>
    <mergeCell ref="A44:F44"/>
    <mergeCell ref="A53:I53"/>
    <mergeCell ref="A1:J1"/>
    <mergeCell ref="A2:J2"/>
    <mergeCell ref="A3:J3"/>
    <mergeCell ref="G8:J8"/>
    <mergeCell ref="A8:F8"/>
    <mergeCell ref="A5:J6"/>
    <mergeCell ref="A4:J4"/>
    <mergeCell ref="A29:C29"/>
    <mergeCell ref="D29:E29"/>
    <mergeCell ref="F29:G29"/>
    <mergeCell ref="A25:G25"/>
    <mergeCell ref="A27:C28"/>
    <mergeCell ref="D27:E27"/>
    <mergeCell ref="F27:G27"/>
    <mergeCell ref="D28:E28"/>
    <mergeCell ref="F28:G28"/>
    <mergeCell ref="A26:G26"/>
    <mergeCell ref="D35:E35"/>
    <mergeCell ref="F35:G35"/>
    <mergeCell ref="I10:I11"/>
    <mergeCell ref="J10:J11"/>
    <mergeCell ref="G10:G11"/>
    <mergeCell ref="H10:H11"/>
    <mergeCell ref="A17:F17"/>
    <mergeCell ref="A18:F18"/>
    <mergeCell ref="A22:D22"/>
    <mergeCell ref="G12:G13"/>
    <mergeCell ref="H12:H13"/>
    <mergeCell ref="I12:I13"/>
    <mergeCell ref="J12:J13"/>
    <mergeCell ref="G14:G15"/>
    <mergeCell ref="H14:H15"/>
    <mergeCell ref="I14:I15"/>
  </mergeCells>
  <phoneticPr fontId="7" type="noConversion"/>
  <pageMargins left="0.59" right="0.59" top="0.75" bottom="0.75" header="0.31" footer="0.31"/>
  <pageSetup paperSize="9" scale="55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53"/>
  <sheetViews>
    <sheetView view="pageBreakPreview" zoomScaleNormal="125" zoomScaleSheetLayoutView="100" zoomScalePageLayoutView="125" workbookViewId="0">
      <selection activeCell="N32" sqref="N32"/>
    </sheetView>
  </sheetViews>
  <sheetFormatPr defaultColWidth="8.85546875" defaultRowHeight="12.75"/>
  <cols>
    <col min="1" max="7" width="12.7109375" style="207" customWidth="1"/>
    <col min="8" max="8" width="14" style="207" customWidth="1"/>
    <col min="9" max="10" width="12.7109375" style="207" customWidth="1"/>
    <col min="11" max="11" width="8.85546875" style="207"/>
    <col min="12" max="12" width="11.28515625" style="207" bestFit="1" customWidth="1"/>
    <col min="13" max="16384" width="8.85546875" style="207"/>
  </cols>
  <sheetData>
    <row r="1" spans="1:14" ht="20.25">
      <c r="A1" s="1053" t="s">
        <v>19</v>
      </c>
      <c r="B1" s="1054"/>
      <c r="C1" s="1054"/>
      <c r="D1" s="1054"/>
      <c r="E1" s="1054"/>
      <c r="F1" s="1054"/>
      <c r="G1" s="1054"/>
      <c r="H1" s="1054"/>
      <c r="I1" s="1055"/>
    </row>
    <row r="2" spans="1:14" ht="39" customHeight="1">
      <c r="A2" s="1391" t="s">
        <v>186</v>
      </c>
      <c r="B2" s="1392"/>
      <c r="C2" s="1392"/>
      <c r="D2" s="1392"/>
      <c r="E2" s="1392"/>
      <c r="F2" s="1392"/>
      <c r="G2" s="1392"/>
      <c r="H2" s="1392"/>
      <c r="I2" s="1393"/>
    </row>
    <row r="3" spans="1:14" ht="20.25">
      <c r="A3" s="1067" t="str">
        <f>'Forside 1'!A6:I6</f>
        <v>Gældende fra 1. november 2025</v>
      </c>
      <c r="B3" s="1068"/>
      <c r="C3" s="1068"/>
      <c r="D3" s="1068"/>
      <c r="E3" s="1068"/>
      <c r="F3" s="1068"/>
      <c r="G3" s="1068"/>
      <c r="H3" s="1068"/>
      <c r="I3" s="1069"/>
    </row>
    <row r="4" spans="1:14" ht="33.950000000000003" customHeight="1" thickBot="1">
      <c r="A4" s="1459" t="s">
        <v>283</v>
      </c>
      <c r="B4" s="1460"/>
      <c r="C4" s="1460"/>
      <c r="D4" s="1460"/>
      <c r="E4" s="1460"/>
      <c r="F4" s="1460"/>
      <c r="G4" s="1460"/>
      <c r="H4" s="1460"/>
      <c r="I4" s="1461"/>
    </row>
    <row r="5" spans="1:14" ht="1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15.75" thickBot="1">
      <c r="A6" s="223"/>
      <c r="B6" s="223"/>
      <c r="C6" s="223"/>
      <c r="D6" s="223"/>
      <c r="E6" s="223"/>
      <c r="F6" s="223"/>
      <c r="G6" s="223"/>
      <c r="H6" s="223"/>
      <c r="I6" s="223"/>
      <c r="J6" s="223"/>
    </row>
    <row r="7" spans="1:14" s="233" customFormat="1" ht="18.75" thickBot="1">
      <c r="A7" s="1285" t="s">
        <v>260</v>
      </c>
      <c r="B7" s="1286"/>
      <c r="C7" s="1286"/>
      <c r="D7" s="1286"/>
      <c r="E7" s="1286"/>
      <c r="F7" s="1287"/>
      <c r="G7" s="1285" t="s">
        <v>165</v>
      </c>
      <c r="H7" s="1286"/>
      <c r="I7" s="1287"/>
      <c r="J7" s="602"/>
    </row>
    <row r="8" spans="1:14" s="233" customFormat="1" ht="15">
      <c r="A8" s="482" t="s">
        <v>57</v>
      </c>
      <c r="B8" s="483" t="s">
        <v>72</v>
      </c>
      <c r="C8" s="483" t="s">
        <v>73</v>
      </c>
      <c r="D8" s="483" t="s">
        <v>74</v>
      </c>
      <c r="E8" s="483" t="s">
        <v>75</v>
      </c>
      <c r="F8" s="483" t="s">
        <v>76</v>
      </c>
      <c r="G8" s="1453" t="s">
        <v>315</v>
      </c>
      <c r="H8" s="1454"/>
      <c r="I8" s="603">
        <v>0.14000000000000001</v>
      </c>
    </row>
    <row r="9" spans="1:14" s="233" customFormat="1" ht="14.1" customHeight="1">
      <c r="A9" s="271" t="s">
        <v>195</v>
      </c>
      <c r="B9" s="443" t="e">
        <f>'Statens skalatrin'!D46+('3F'!#REF!/12)</f>
        <v>#REF!</v>
      </c>
      <c r="C9" s="443" t="e">
        <f>'Statens skalatrin'!F46+('3F'!#REF!/12)</f>
        <v>#REF!</v>
      </c>
      <c r="D9" s="443" t="e">
        <f>'Statens skalatrin'!H46+('3F'!#REF!/12)</f>
        <v>#REF!</v>
      </c>
      <c r="E9" s="443" t="e">
        <f>'Statens skalatrin'!J46+('3F'!#REF!/12)</f>
        <v>#REF!</v>
      </c>
      <c r="F9" s="443" t="e">
        <f>'Statens skalatrin'!L46+('3F'!#REF!/12)</f>
        <v>#REF!</v>
      </c>
      <c r="G9" s="1455">
        <f>'Statens skalatrin'!O46</f>
        <v>22152.13</v>
      </c>
      <c r="H9" s="1456"/>
      <c r="I9" s="321">
        <f>G9*$I$8</f>
        <v>3101.2982000000006</v>
      </c>
      <c r="J9" s="236"/>
      <c r="K9" s="232"/>
    </row>
    <row r="10" spans="1:14" s="233" customFormat="1" ht="15" customHeight="1">
      <c r="A10" s="271">
        <v>17</v>
      </c>
      <c r="B10" s="443">
        <f>'Statens skalatrin'!D55</f>
        <v>24878.92</v>
      </c>
      <c r="C10" s="443">
        <f>'Statens skalatrin'!F55</f>
        <v>25410.75</v>
      </c>
      <c r="D10" s="443">
        <f>'Statens skalatrin'!H55</f>
        <v>25778.92</v>
      </c>
      <c r="E10" s="443">
        <f>'Statens skalatrin'!J55</f>
        <v>26310.67</v>
      </c>
      <c r="F10" s="443">
        <f>'Statens skalatrin'!L55</f>
        <v>26678.58</v>
      </c>
      <c r="G10" s="1455">
        <f>'Statens skalatrin'!O55</f>
        <v>23366.37</v>
      </c>
      <c r="H10" s="1456"/>
      <c r="I10" s="321">
        <f>G10*$I$8</f>
        <v>3271.2918</v>
      </c>
      <c r="J10" s="236"/>
      <c r="K10" s="232"/>
    </row>
    <row r="11" spans="1:14" s="233" customFormat="1" ht="15" customHeight="1" thickBot="1">
      <c r="A11" s="272" t="s">
        <v>166</v>
      </c>
      <c r="B11" s="444" t="e">
        <f>'Statens skalatrin'!D64+('3F'!#REF!/12)</f>
        <v>#REF!</v>
      </c>
      <c r="C11" s="444" t="e">
        <f>'Statens skalatrin'!F64+('3F'!#REF!/12)</f>
        <v>#REF!</v>
      </c>
      <c r="D11" s="444" t="e">
        <f>'Statens skalatrin'!H64+('3F'!#REF!/12)</f>
        <v>#REF!</v>
      </c>
      <c r="E11" s="444" t="e">
        <f>'Statens skalatrin'!J64+('3F'!#REF!/12)</f>
        <v>#REF!</v>
      </c>
      <c r="F11" s="444" t="e">
        <f>'Statens skalatrin'!L64+('3F'!#REF!/12)</f>
        <v>#REF!</v>
      </c>
      <c r="G11" s="1457">
        <f>'Statens skalatrin'!O64</f>
        <v>24683.73</v>
      </c>
      <c r="H11" s="1458"/>
      <c r="I11" s="322">
        <f>G11*$I$8</f>
        <v>3455.7222000000002</v>
      </c>
      <c r="J11" s="236"/>
      <c r="K11" s="232"/>
      <c r="N11" s="235"/>
    </row>
    <row r="12" spans="1:14" s="233" customFormat="1" ht="14.25">
      <c r="B12" s="234"/>
      <c r="C12" s="234"/>
      <c r="D12" s="234"/>
      <c r="E12" s="234"/>
      <c r="F12" s="234"/>
    </row>
    <row r="13" spans="1:14" s="233" customFormat="1" ht="15" thickBot="1">
      <c r="B13" s="234"/>
      <c r="C13" s="234"/>
      <c r="D13" s="234"/>
      <c r="E13" s="234"/>
      <c r="F13" s="234"/>
    </row>
    <row r="14" spans="1:14" s="233" customFormat="1" ht="18.75" thickBot="1">
      <c r="A14" s="1285" t="s">
        <v>261</v>
      </c>
      <c r="B14" s="1286"/>
      <c r="C14" s="1286"/>
      <c r="D14" s="1286"/>
      <c r="E14" s="1286"/>
      <c r="F14" s="1287"/>
    </row>
    <row r="15" spans="1:14" s="233" customFormat="1" ht="15" customHeight="1" thickBot="1">
      <c r="A15" s="1471" t="s">
        <v>168</v>
      </c>
      <c r="B15" s="1472"/>
      <c r="C15" s="1472"/>
      <c r="D15" s="1472"/>
      <c r="E15" s="1472"/>
      <c r="F15" s="1473"/>
    </row>
    <row r="16" spans="1:14" s="233" customFormat="1" ht="15.95" customHeight="1">
      <c r="A16" s="413" t="s">
        <v>57</v>
      </c>
      <c r="B16" s="414" t="s">
        <v>72</v>
      </c>
      <c r="C16" s="413" t="s">
        <v>73</v>
      </c>
      <c r="D16" s="414" t="s">
        <v>74</v>
      </c>
      <c r="E16" s="413" t="s">
        <v>75</v>
      </c>
      <c r="F16" s="415" t="s">
        <v>76</v>
      </c>
    </row>
    <row r="17" spans="1:12" s="233" customFormat="1" ht="15.95" customHeight="1" thickBot="1">
      <c r="A17" s="246" t="s">
        <v>195</v>
      </c>
      <c r="B17" s="445" t="e">
        <f>B9*12/1924</f>
        <v>#REF!</v>
      </c>
      <c r="C17" s="446" t="e">
        <f>C9*12/1924</f>
        <v>#REF!</v>
      </c>
      <c r="D17" s="445" t="e">
        <f>D9*12/1924</f>
        <v>#REF!</v>
      </c>
      <c r="E17" s="446" t="e">
        <f>(E9*12)/1924</f>
        <v>#REF!</v>
      </c>
      <c r="F17" s="447" t="e">
        <f>(F9*12)/1924</f>
        <v>#REF!</v>
      </c>
      <c r="H17" s="232"/>
      <c r="I17" s="232"/>
      <c r="J17" s="232"/>
      <c r="K17" s="232"/>
      <c r="L17" s="232"/>
    </row>
    <row r="18" spans="1:12" s="233" customFormat="1" ht="15.95" customHeight="1">
      <c r="A18" s="242"/>
      <c r="B18" s="241"/>
      <c r="C18" s="241"/>
      <c r="D18" s="241"/>
      <c r="E18" s="241"/>
      <c r="F18" s="241"/>
      <c r="H18" s="232"/>
      <c r="I18" s="232"/>
      <c r="J18" s="232"/>
      <c r="K18" s="232"/>
      <c r="L18" s="232"/>
    </row>
    <row r="19" spans="1:12" s="233" customFormat="1" ht="15" thickBot="1">
      <c r="A19" s="242"/>
      <c r="B19" s="241"/>
      <c r="C19" s="241"/>
      <c r="D19" s="241"/>
      <c r="E19" s="241"/>
      <c r="F19" s="241"/>
    </row>
    <row r="20" spans="1:12" ht="20.100000000000001" customHeight="1">
      <c r="A20" s="944" t="s">
        <v>169</v>
      </c>
      <c r="B20" s="945"/>
      <c r="C20" s="945"/>
      <c r="D20" s="945"/>
      <c r="E20" s="945"/>
      <c r="F20" s="945"/>
      <c r="G20" s="945"/>
      <c r="H20" s="945"/>
      <c r="I20" s="946"/>
      <c r="J20" s="223"/>
    </row>
    <row r="21" spans="1:12" ht="20.100000000000001" customHeight="1" thickBot="1">
      <c r="A21" s="999" t="s">
        <v>266</v>
      </c>
      <c r="B21" s="1000"/>
      <c r="C21" s="1000"/>
      <c r="D21" s="1000"/>
      <c r="E21" s="1000"/>
      <c r="F21" s="1000"/>
      <c r="G21" s="1000"/>
      <c r="H21" s="1000"/>
      <c r="I21" s="1001"/>
      <c r="J21" s="223"/>
    </row>
    <row r="22" spans="1:12" s="233" customFormat="1" ht="30" customHeight="1" thickBot="1">
      <c r="A22" s="1376"/>
      <c r="B22" s="1377"/>
      <c r="C22" s="1377"/>
      <c r="D22" s="1377"/>
      <c r="E22" s="1377"/>
      <c r="F22" s="1377"/>
      <c r="G22" s="1377"/>
      <c r="H22" s="565" t="s">
        <v>293</v>
      </c>
      <c r="I22" s="560" t="s">
        <v>294</v>
      </c>
    </row>
    <row r="23" spans="1:12" s="233" customFormat="1" ht="15.75" thickBot="1">
      <c r="A23" s="1435"/>
      <c r="B23" s="1436"/>
      <c r="C23" s="1436"/>
      <c r="D23" s="1436"/>
      <c r="E23" s="1436"/>
      <c r="F23" s="1436"/>
      <c r="G23" s="1437"/>
      <c r="H23" s="504">
        <v>40999</v>
      </c>
      <c r="I23" s="567" t="str">
        <f>'Løntabel gældende fra'!D1</f>
        <v>01/11/25</v>
      </c>
    </row>
    <row r="24" spans="1:12" s="233" customFormat="1" ht="17.100000000000001" customHeight="1">
      <c r="A24" s="1469" t="s">
        <v>170</v>
      </c>
      <c r="B24" s="1470"/>
      <c r="C24" s="1470"/>
      <c r="D24" s="1470"/>
      <c r="E24" s="1470"/>
      <c r="F24" s="484"/>
      <c r="G24" s="485" t="s">
        <v>162</v>
      </c>
      <c r="H24" s="158">
        <v>22.32</v>
      </c>
      <c r="I24" s="487">
        <f>H24+(H24*'Løntabel gældende fra'!$D$7%)</f>
        <v>27.880492320000002</v>
      </c>
    </row>
    <row r="25" spans="1:12" s="233" customFormat="1" ht="17.100000000000001" customHeight="1">
      <c r="A25" s="1389" t="s">
        <v>171</v>
      </c>
      <c r="B25" s="1390"/>
      <c r="C25" s="1390"/>
      <c r="D25" s="1390"/>
      <c r="E25" s="1390"/>
      <c r="F25" s="248"/>
      <c r="G25" s="231" t="s">
        <v>162</v>
      </c>
      <c r="H25" s="176">
        <v>39.92</v>
      </c>
      <c r="I25" s="487">
        <f>H25+(H25*'Løntabel gældende fra'!$D$7%)</f>
        <v>49.865109920000002</v>
      </c>
    </row>
    <row r="26" spans="1:12" s="233" customFormat="1" ht="17.100000000000001" customHeight="1">
      <c r="A26" s="1381" t="s">
        <v>172</v>
      </c>
      <c r="B26" s="1382"/>
      <c r="C26" s="1382"/>
      <c r="D26" s="1382"/>
      <c r="E26" s="1382"/>
      <c r="F26" s="1382"/>
      <c r="G26" s="231" t="s">
        <v>162</v>
      </c>
      <c r="H26" s="176">
        <v>39.92</v>
      </c>
      <c r="I26" s="487">
        <f>H26+(H26*'Løntabel gældende fra'!$D$7%)</f>
        <v>49.865109920000002</v>
      </c>
    </row>
    <row r="27" spans="1:12" s="233" customFormat="1" ht="17.100000000000001" customHeight="1" thickBot="1">
      <c r="A27" s="261" t="s">
        <v>161</v>
      </c>
      <c r="B27" s="260"/>
      <c r="C27" s="260"/>
      <c r="D27" s="260"/>
      <c r="E27" s="245"/>
      <c r="F27" s="245"/>
      <c r="G27" s="255" t="s">
        <v>162</v>
      </c>
      <c r="H27" s="159">
        <v>39.92</v>
      </c>
      <c r="I27" s="477">
        <f>H27+(H27*'Løntabel gældende fra'!$D$7%)</f>
        <v>49.865109920000002</v>
      </c>
    </row>
    <row r="28" spans="1:12" s="233" customFormat="1" ht="15">
      <c r="A28" s="223"/>
      <c r="B28" s="223"/>
      <c r="C28" s="223"/>
      <c r="D28" s="223"/>
      <c r="E28" s="223"/>
      <c r="F28" s="224"/>
      <c r="G28" s="223"/>
      <c r="H28" s="224"/>
      <c r="I28" s="223"/>
    </row>
    <row r="29" spans="1:12" s="233" customFormat="1" ht="15.75" thickBot="1">
      <c r="A29" s="223"/>
      <c r="B29" s="223"/>
      <c r="C29" s="223"/>
      <c r="D29" s="223"/>
      <c r="E29" s="223"/>
      <c r="F29" s="224"/>
      <c r="G29" s="223"/>
      <c r="H29" s="224"/>
      <c r="I29" s="223"/>
    </row>
    <row r="30" spans="1:12" s="233" customFormat="1" ht="18">
      <c r="A30" s="944" t="s">
        <v>173</v>
      </c>
      <c r="B30" s="945"/>
      <c r="C30" s="945"/>
      <c r="D30" s="945"/>
      <c r="E30" s="945"/>
      <c r="F30" s="945"/>
      <c r="G30" s="945"/>
      <c r="H30" s="945"/>
      <c r="I30" s="946"/>
    </row>
    <row r="31" spans="1:12" s="233" customFormat="1" ht="15.75" thickBot="1">
      <c r="A31" s="999" t="s">
        <v>262</v>
      </c>
      <c r="B31" s="1000"/>
      <c r="C31" s="1000"/>
      <c r="D31" s="1000"/>
      <c r="E31" s="1000"/>
      <c r="F31" s="1000"/>
      <c r="G31" s="1000"/>
      <c r="H31" s="1000"/>
      <c r="I31" s="1001"/>
    </row>
    <row r="32" spans="1:12" s="233" customFormat="1" ht="30.75" thickBot="1">
      <c r="A32" s="1435"/>
      <c r="B32" s="1436"/>
      <c r="C32" s="1436"/>
      <c r="D32" s="1436"/>
      <c r="E32" s="1436"/>
      <c r="F32" s="1436"/>
      <c r="G32" s="1437"/>
      <c r="H32" s="565" t="s">
        <v>293</v>
      </c>
      <c r="I32" s="560" t="s">
        <v>294</v>
      </c>
    </row>
    <row r="33" spans="1:9" s="233" customFormat="1" ht="15.75" thickBot="1">
      <c r="A33" s="1466"/>
      <c r="B33" s="1467"/>
      <c r="C33" s="1467"/>
      <c r="D33" s="1467"/>
      <c r="E33" s="1467"/>
      <c r="F33" s="1467"/>
      <c r="G33" s="1468"/>
      <c r="H33" s="504">
        <v>40999</v>
      </c>
      <c r="I33" s="567" t="str">
        <f>'Løntabel gældende fra'!D1</f>
        <v>01/11/25</v>
      </c>
    </row>
    <row r="34" spans="1:9" s="233" customFormat="1" ht="15" thickBot="1">
      <c r="A34" s="1125" t="s">
        <v>254</v>
      </c>
      <c r="B34" s="1126"/>
      <c r="C34" s="1126"/>
      <c r="D34" s="1126"/>
      <c r="E34" s="1126"/>
      <c r="F34" s="513"/>
      <c r="G34" s="514" t="s">
        <v>162</v>
      </c>
      <c r="H34" s="160">
        <v>6.88</v>
      </c>
      <c r="I34" s="477">
        <f>H34+(H34*'Løntabel gældende fra'!D7%)</f>
        <v>8.5939868799999992</v>
      </c>
    </row>
    <row r="35" spans="1:9" s="233" customFormat="1" ht="15">
      <c r="A35" s="223"/>
      <c r="B35" s="223"/>
      <c r="C35" s="223"/>
      <c r="D35" s="223"/>
      <c r="E35" s="223"/>
      <c r="F35" s="224"/>
      <c r="G35" s="223"/>
      <c r="H35" s="224"/>
      <c r="I35" s="223"/>
    </row>
    <row r="36" spans="1:9" s="233" customFormat="1" ht="15.75" thickBot="1">
      <c r="A36" s="223"/>
      <c r="B36" s="223"/>
      <c r="C36" s="223"/>
      <c r="D36" s="223"/>
      <c r="E36" s="223"/>
      <c r="F36" s="224"/>
      <c r="G36" s="223"/>
      <c r="H36" s="224"/>
      <c r="I36" s="223"/>
    </row>
    <row r="37" spans="1:9" s="233" customFormat="1" ht="18">
      <c r="A37" s="944" t="s">
        <v>279</v>
      </c>
      <c r="B37" s="945"/>
      <c r="C37" s="945"/>
      <c r="D37" s="945"/>
      <c r="E37" s="945"/>
      <c r="F37" s="945"/>
      <c r="G37" s="945"/>
      <c r="H37" s="945"/>
      <c r="I37" s="946"/>
    </row>
    <row r="38" spans="1:9" s="233" customFormat="1" ht="15.75" thickBot="1">
      <c r="A38" s="902" t="s">
        <v>266</v>
      </c>
      <c r="B38" s="903"/>
      <c r="C38" s="903"/>
      <c r="D38" s="903"/>
      <c r="E38" s="903"/>
      <c r="F38" s="903"/>
      <c r="G38" s="903"/>
      <c r="H38" s="903"/>
      <c r="I38" s="904"/>
    </row>
    <row r="39" spans="1:9" s="233" customFormat="1" ht="33" customHeight="1">
      <c r="A39" s="1441"/>
      <c r="B39" s="1442"/>
      <c r="C39" s="1442"/>
      <c r="D39" s="1442"/>
      <c r="E39" s="1442"/>
      <c r="F39" s="1442"/>
      <c r="G39" s="1443"/>
      <c r="H39" s="563" t="s">
        <v>128</v>
      </c>
      <c r="I39" s="559" t="s">
        <v>292</v>
      </c>
    </row>
    <row r="40" spans="1:9" s="233" customFormat="1" ht="15.75" thickBot="1">
      <c r="A40" s="1463"/>
      <c r="B40" s="1464"/>
      <c r="C40" s="1464"/>
      <c r="D40" s="1464"/>
      <c r="E40" s="1464"/>
      <c r="F40" s="1464"/>
      <c r="G40" s="1465"/>
      <c r="H40" s="504">
        <v>40999</v>
      </c>
      <c r="I40" s="567" t="str">
        <f>'Løntabel gældende fra'!D1</f>
        <v>01/11/25</v>
      </c>
    </row>
    <row r="41" spans="1:9" s="233" customFormat="1" ht="15" thickBot="1">
      <c r="A41" s="1125" t="s">
        <v>255</v>
      </c>
      <c r="B41" s="1126"/>
      <c r="C41" s="1126"/>
      <c r="D41" s="1126"/>
      <c r="E41" s="1126"/>
      <c r="F41" s="513"/>
      <c r="G41" s="514"/>
      <c r="H41" s="160">
        <v>655</v>
      </c>
      <c r="I41" s="477">
        <f>H41+(H41*'Løntabel gældende fra'!D7%)</f>
        <v>818.17753000000005</v>
      </c>
    </row>
    <row r="42" spans="1:9" s="233" customFormat="1" ht="15">
      <c r="A42" s="223"/>
      <c r="B42" s="223"/>
      <c r="C42" s="223"/>
      <c r="D42" s="223"/>
      <c r="E42" s="223"/>
      <c r="F42" s="224"/>
      <c r="G42" s="223"/>
      <c r="H42" s="224"/>
      <c r="I42" s="223"/>
    </row>
    <row r="43" spans="1:9" s="233" customFormat="1" ht="15.75" thickBot="1">
      <c r="A43" s="223"/>
      <c r="B43" s="223"/>
      <c r="C43" s="223"/>
      <c r="D43" s="223"/>
      <c r="E43" s="223"/>
      <c r="F43" s="224"/>
      <c r="G43" s="223"/>
      <c r="H43" s="224"/>
      <c r="I43" s="223"/>
    </row>
    <row r="44" spans="1:9" s="233" customFormat="1" ht="18">
      <c r="A44" s="944" t="s">
        <v>278</v>
      </c>
      <c r="B44" s="945"/>
      <c r="C44" s="945"/>
      <c r="D44" s="945"/>
      <c r="E44" s="945"/>
      <c r="F44" s="945"/>
      <c r="G44" s="945"/>
      <c r="H44" s="945"/>
      <c r="I44" s="946"/>
    </row>
    <row r="45" spans="1:9" s="233" customFormat="1" ht="15.75" thickBot="1">
      <c r="A45" s="902" t="s">
        <v>262</v>
      </c>
      <c r="B45" s="903"/>
      <c r="C45" s="903"/>
      <c r="D45" s="903"/>
      <c r="E45" s="903"/>
      <c r="F45" s="903"/>
      <c r="G45" s="903"/>
      <c r="H45" s="903"/>
      <c r="I45" s="904"/>
    </row>
    <row r="46" spans="1:9" s="233" customFormat="1" ht="30">
      <c r="A46" s="1122"/>
      <c r="B46" s="1123"/>
      <c r="C46" s="1123"/>
      <c r="D46" s="1123"/>
      <c r="E46" s="1123"/>
      <c r="F46" s="1123"/>
      <c r="G46" s="1124"/>
      <c r="H46" s="563" t="s">
        <v>128</v>
      </c>
      <c r="I46" s="559" t="s">
        <v>292</v>
      </c>
    </row>
    <row r="47" spans="1:9" s="233" customFormat="1" ht="15.75" thickBot="1">
      <c r="A47" s="1125"/>
      <c r="B47" s="1126"/>
      <c r="C47" s="1126"/>
      <c r="D47" s="1126"/>
      <c r="E47" s="1126"/>
      <c r="F47" s="1126"/>
      <c r="G47" s="1127"/>
      <c r="H47" s="504">
        <v>40999</v>
      </c>
      <c r="I47" s="567" t="str">
        <f>'Løntabel gældende fra'!D1</f>
        <v>01/11/25</v>
      </c>
    </row>
    <row r="48" spans="1:9" s="233" customFormat="1" ht="15" thickBot="1">
      <c r="A48" s="1125" t="s">
        <v>181</v>
      </c>
      <c r="B48" s="1126"/>
      <c r="C48" s="1126"/>
      <c r="D48" s="1126"/>
      <c r="E48" s="1126"/>
      <c r="F48" s="513"/>
      <c r="G48" s="514"/>
      <c r="H48" s="160">
        <v>10500</v>
      </c>
      <c r="I48" s="477">
        <f>H48+(H48*'Løntabel gældende fra'!D7%)</f>
        <v>13115.823</v>
      </c>
    </row>
    <row r="49" spans="1:10" s="233" customFormat="1" ht="14.25"/>
    <row r="50" spans="1:10" s="233" customFormat="1" ht="15" thickBot="1"/>
    <row r="51" spans="1:10" s="233" customFormat="1" ht="18">
      <c r="A51" s="944" t="s">
        <v>277</v>
      </c>
      <c r="B51" s="945"/>
      <c r="C51" s="945"/>
      <c r="D51" s="945"/>
      <c r="E51" s="945"/>
      <c r="F51" s="945"/>
      <c r="G51" s="945"/>
      <c r="H51" s="945"/>
      <c r="I51" s="946"/>
    </row>
    <row r="52" spans="1:10" s="233" customFormat="1" ht="15.75" thickBot="1">
      <c r="A52" s="999" t="s">
        <v>262</v>
      </c>
      <c r="B52" s="1000"/>
      <c r="C52" s="1000"/>
      <c r="D52" s="1000"/>
      <c r="E52" s="1000"/>
      <c r="F52" s="1000"/>
      <c r="G52" s="1000"/>
      <c r="H52" s="1000"/>
      <c r="I52" s="1001"/>
    </row>
    <row r="53" spans="1:10" s="233" customFormat="1" ht="14.25">
      <c r="A53" s="1438" t="s">
        <v>308</v>
      </c>
      <c r="B53" s="1439"/>
      <c r="C53" s="1439"/>
      <c r="D53" s="1439"/>
      <c r="E53" s="1439"/>
      <c r="F53" s="1439"/>
      <c r="G53" s="1440"/>
      <c r="H53" s="509" t="s">
        <v>95</v>
      </c>
      <c r="I53" s="510" t="s">
        <v>100</v>
      </c>
    </row>
    <row r="54" spans="1:10" s="233" customFormat="1" ht="15.75" thickBot="1">
      <c r="A54" s="1371"/>
      <c r="B54" s="1372"/>
      <c r="C54" s="1372"/>
      <c r="D54" s="1372"/>
      <c r="E54" s="1372"/>
      <c r="F54" s="1372"/>
      <c r="G54" s="1373"/>
      <c r="H54" s="511">
        <v>40999</v>
      </c>
      <c r="I54" s="567" t="str">
        <f>'Løntabel gældende fra'!D1</f>
        <v>01/11/25</v>
      </c>
    </row>
    <row r="55" spans="1:10" s="233" customFormat="1" ht="15" thickBot="1">
      <c r="A55" s="1374" t="s">
        <v>259</v>
      </c>
      <c r="B55" s="1375"/>
      <c r="C55" s="1375"/>
      <c r="D55" s="1375"/>
      <c r="E55" s="1375"/>
      <c r="F55" s="229"/>
      <c r="G55" s="240"/>
      <c r="H55" s="298">
        <v>0</v>
      </c>
      <c r="I55" s="291">
        <v>0</v>
      </c>
    </row>
    <row r="56" spans="1:10" s="233" customFormat="1" ht="14.25"/>
    <row r="57" spans="1:10" s="233" customFormat="1" ht="15">
      <c r="A57" s="1462"/>
      <c r="B57" s="1462"/>
      <c r="C57" s="1462"/>
      <c r="D57" s="1462"/>
      <c r="E57" s="1462"/>
      <c r="F57" s="1462"/>
      <c r="G57" s="1462"/>
      <c r="H57" s="1462"/>
      <c r="I57" s="1462"/>
      <c r="J57" s="1462"/>
    </row>
    <row r="58" spans="1:10" s="233" customFormat="1" ht="15">
      <c r="A58" s="478"/>
    </row>
    <row r="59" spans="1:10" s="233" customFormat="1" ht="14.25"/>
    <row r="60" spans="1:10" s="233" customFormat="1" ht="14.25"/>
    <row r="61" spans="1:10" s="233" customFormat="1" ht="14.25"/>
    <row r="62" spans="1:10" s="233" customFormat="1" ht="14.25"/>
    <row r="72" s="233" customFormat="1" ht="14.25"/>
    <row r="73" s="233" customFormat="1" ht="14.25"/>
    <row r="74" s="233" customFormat="1" ht="14.25"/>
    <row r="75" s="233" customFormat="1" ht="14.25"/>
    <row r="76" s="233" customFormat="1" ht="14.25"/>
    <row r="77" s="233" customFormat="1" ht="14.25"/>
    <row r="78" s="233" customFormat="1" ht="14.25"/>
    <row r="79" s="233" customFormat="1" ht="14.25"/>
    <row r="80" s="233" customFormat="1" ht="14.25"/>
    <row r="81" s="233" customFormat="1" ht="14.25"/>
    <row r="82" s="233" customFormat="1" ht="14.25"/>
    <row r="83" s="233" customFormat="1" ht="14.25"/>
    <row r="84" s="233" customFormat="1" ht="14.25"/>
    <row r="85" s="233" customFormat="1" ht="14.25"/>
    <row r="86" s="233" customFormat="1" ht="14.25"/>
    <row r="87" s="233" customFormat="1" ht="14.25"/>
    <row r="88" s="233" customFormat="1" ht="14.25"/>
    <row r="89" s="233" customFormat="1" ht="14.25"/>
    <row r="90" s="233" customFormat="1" ht="14.25"/>
    <row r="91" s="233" customFormat="1" ht="14.25"/>
    <row r="92" s="233" customFormat="1" ht="14.25"/>
    <row r="93" s="233" customFormat="1" ht="14.25"/>
    <row r="94" s="233" customFormat="1" ht="14.25"/>
    <row r="95" s="233" customFormat="1" ht="14.25"/>
    <row r="96" s="233" customFormat="1" ht="14.25"/>
    <row r="97" s="233" customFormat="1" ht="14.25"/>
    <row r="98" s="233" customFormat="1" ht="14.25"/>
    <row r="99" s="233" customFormat="1" ht="14.25"/>
    <row r="100" s="233" customFormat="1" ht="14.25"/>
    <row r="101" s="233" customFormat="1" ht="14.25"/>
    <row r="102" s="233" customFormat="1" ht="14.25"/>
    <row r="103" s="233" customFormat="1" ht="14.25"/>
    <row r="104" s="233" customFormat="1" ht="14.25"/>
    <row r="105" s="233" customFormat="1" ht="14.25"/>
    <row r="106" s="233" customFormat="1" ht="14.25"/>
    <row r="107" s="233" customFormat="1" ht="14.25"/>
    <row r="108" s="233" customFormat="1" ht="14.25"/>
    <row r="109" s="233" customFormat="1" ht="14.25"/>
    <row r="110" s="233" customFormat="1" ht="14.25"/>
    <row r="111" s="233" customFormat="1" ht="14.25"/>
    <row r="112" s="233" customFormat="1" ht="14.25"/>
    <row r="113" s="233" customFormat="1" ht="14.25"/>
    <row r="114" s="233" customFormat="1" ht="14.25"/>
    <row r="115" s="233" customFormat="1" ht="14.25"/>
    <row r="116" s="233" customFormat="1" ht="14.25"/>
    <row r="117" s="233" customFormat="1" ht="14.25"/>
    <row r="118" s="233" customFormat="1" ht="14.25"/>
    <row r="119" s="233" customFormat="1" ht="14.25"/>
    <row r="120" s="233" customFormat="1" ht="14.25"/>
    <row r="121" s="233" customFormat="1" ht="14.25"/>
    <row r="122" s="233" customFormat="1" ht="14.25"/>
    <row r="123" s="233" customFormat="1" ht="14.25"/>
    <row r="124" s="233" customFormat="1" ht="14.25"/>
    <row r="125" s="233" customFormat="1" ht="14.25"/>
    <row r="126" s="233" customFormat="1" ht="14.25"/>
    <row r="127" s="233" customFormat="1" ht="14.25"/>
    <row r="128" s="233" customFormat="1" ht="14.25"/>
    <row r="129" s="233" customFormat="1" ht="14.25"/>
    <row r="130" s="233" customFormat="1" ht="14.25"/>
    <row r="131" s="233" customFormat="1" ht="14.25"/>
    <row r="132" s="233" customFormat="1" ht="14.25"/>
    <row r="133" s="233" customFormat="1" ht="14.25"/>
    <row r="134" s="233" customFormat="1" ht="14.25"/>
    <row r="135" s="233" customFormat="1" ht="14.25"/>
    <row r="136" s="233" customFormat="1" ht="14.25"/>
    <row r="137" s="233" customFormat="1" ht="14.25"/>
    <row r="138" s="233" customFormat="1" ht="14.25"/>
    <row r="139" s="233" customFormat="1" ht="14.25"/>
    <row r="140" s="233" customFormat="1" ht="14.25"/>
    <row r="141" s="233" customFormat="1" ht="14.25"/>
    <row r="142" s="233" customFormat="1" ht="14.25"/>
    <row r="143" s="233" customFormat="1" ht="14.25"/>
    <row r="144" s="233" customFormat="1" ht="14.25"/>
    <row r="145" s="233" customFormat="1" ht="14.25"/>
    <row r="146" s="233" customFormat="1" ht="14.25"/>
    <row r="147" s="233" customFormat="1" ht="14.25"/>
    <row r="148" s="233" customFormat="1" ht="14.25"/>
    <row r="149" s="233" customFormat="1" ht="14.25"/>
    <row r="150" s="233" customFormat="1" ht="14.25"/>
    <row r="151" s="233" customFormat="1" ht="14.25"/>
    <row r="152" s="233" customFormat="1" ht="14.25"/>
    <row r="153" s="233" customFormat="1" ht="14.25"/>
  </sheetData>
  <sheetProtection sheet="1" objects="1" scenarios="1"/>
  <mergeCells count="35">
    <mergeCell ref="A31:I31"/>
    <mergeCell ref="A38:I38"/>
    <mergeCell ref="A14:F14"/>
    <mergeCell ref="A24:E24"/>
    <mergeCell ref="A22:G23"/>
    <mergeCell ref="A25:E25"/>
    <mergeCell ref="A15:F15"/>
    <mergeCell ref="A20:I20"/>
    <mergeCell ref="A21:I21"/>
    <mergeCell ref="A45:I45"/>
    <mergeCell ref="A52:I52"/>
    <mergeCell ref="A57:J57"/>
    <mergeCell ref="A26:F26"/>
    <mergeCell ref="A37:I37"/>
    <mergeCell ref="A39:G40"/>
    <mergeCell ref="A41:E41"/>
    <mergeCell ref="A44:I44"/>
    <mergeCell ref="A46:G47"/>
    <mergeCell ref="A48:E48"/>
    <mergeCell ref="A30:I30"/>
    <mergeCell ref="A32:G33"/>
    <mergeCell ref="A34:E34"/>
    <mergeCell ref="A51:I51"/>
    <mergeCell ref="A53:G54"/>
    <mergeCell ref="A55:E55"/>
    <mergeCell ref="G8:H8"/>
    <mergeCell ref="G9:H9"/>
    <mergeCell ref="G10:H10"/>
    <mergeCell ref="G11:H11"/>
    <mergeCell ref="A1:I1"/>
    <mergeCell ref="A2:I2"/>
    <mergeCell ref="A3:I3"/>
    <mergeCell ref="A4:I4"/>
    <mergeCell ref="A7:F7"/>
    <mergeCell ref="G7:I7"/>
  </mergeCells>
  <phoneticPr fontId="7" type="noConversion"/>
  <pageMargins left="0.71" right="0.71" top="0.75" bottom="0.75" header="0.31" footer="0.31"/>
  <pageSetup paperSize="9" scale="67" orientation="portrait" r:id="rId1"/>
  <headerFooter>
    <oddFooter>&amp;C&amp;"Calibri,Normal"&amp;8&amp;K000000Løntabel 3F&amp;R&amp;"Calibri,Normal"&amp;8&amp;K000000&amp;P af i alt &amp;N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17</vt:i4>
      </vt:variant>
    </vt:vector>
  </HeadingPairs>
  <TitlesOfParts>
    <vt:vector size="30" baseType="lpstr">
      <vt:lpstr>Forside 1</vt:lpstr>
      <vt:lpstr>Lønoversigt mm.</vt:lpstr>
      <vt:lpstr>Lærere og bh kl ledere</vt:lpstr>
      <vt:lpstr>Ledere</vt:lpstr>
      <vt:lpstr>BUPL-FOA</vt:lpstr>
      <vt:lpstr>3f (LS_DSSV)</vt:lpstr>
      <vt:lpstr>HK (LS)</vt:lpstr>
      <vt:lpstr>3F</vt:lpstr>
      <vt:lpstr>3F (DPS)</vt:lpstr>
      <vt:lpstr>HK</vt:lpstr>
      <vt:lpstr>Generelle satser</vt:lpstr>
      <vt:lpstr>Statens skalatrin</vt:lpstr>
      <vt:lpstr>Løntabel gældende fra</vt:lpstr>
      <vt:lpstr>'3F'!Udskriftsområde</vt:lpstr>
      <vt:lpstr>'3f (LS_DSSV)'!Udskriftsområde</vt:lpstr>
      <vt:lpstr>'BUPL-FOA'!Udskriftsområde</vt:lpstr>
      <vt:lpstr>'Forside 1'!Udskriftsområde</vt:lpstr>
      <vt:lpstr>'Generelle satser'!Udskriftsområde</vt:lpstr>
      <vt:lpstr>HK!Udskriftsområde</vt:lpstr>
      <vt:lpstr>'HK (LS)'!Udskriftsområde</vt:lpstr>
      <vt:lpstr>Ledere!Udskriftsområde</vt:lpstr>
      <vt:lpstr>'Lærere og bh kl ledere'!Udskriftsområde</vt:lpstr>
      <vt:lpstr>'Løntabel gældende fra'!Udskriftsområde</vt:lpstr>
      <vt:lpstr>'Statens skalatrin'!Udskriftsområde</vt:lpstr>
      <vt:lpstr>'3F'!Udskriftstitler</vt:lpstr>
      <vt:lpstr>'3f (LS_DSSV)'!Udskriftstitler</vt:lpstr>
      <vt:lpstr>'BUPL-FOA'!Udskriftstitler</vt:lpstr>
      <vt:lpstr>'Generelle satser'!Udskriftstitler</vt:lpstr>
      <vt:lpstr>'Lærere og bh kl ledere'!Udskriftstitler</vt:lpstr>
      <vt:lpstr>'Statens skalatrin'!Udskriftstitler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No Laursen</dc:creator>
  <cp:lastModifiedBy>Lars Larsen</cp:lastModifiedBy>
  <cp:lastPrinted>2023-02-09T09:26:38Z</cp:lastPrinted>
  <dcterms:created xsi:type="dcterms:W3CDTF">2014-05-07T09:31:49Z</dcterms:created>
  <dcterms:modified xsi:type="dcterms:W3CDTF">2025-10-20T07:25:44Z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_sAMAccountName">
    <vt:lpwstr>DFPHP</vt:lpwstr>
  </property>
  <property fmtid="{D5CDD505-2E9C-101B-9397-08002B2CF9AE}" pid="3" name="DL_AuthorInitials">
    <vt:lpwstr>DFPHP</vt:lpwstr>
  </property>
  <property fmtid="{D5CDD505-2E9C-101B-9397-08002B2CF9AE}" pid="4" name="fInit">
    <vt:lpwstr>DFPHP</vt:lpwstr>
  </property>
  <property fmtid="{D5CDD505-2E9C-101B-9397-08002B2CF9AE}" pid="5" name="fNavn">
    <vt:lpwstr>Peter Højgaard</vt:lpwstr>
  </property>
</Properties>
</file>