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arsLarsen\Desktop\"/>
    </mc:Choice>
  </mc:AlternateContent>
  <xr:revisionPtr revIDLastSave="0" documentId="13_ncr:1_{4C17D9FE-38D0-4400-AD02-6A88D29BAF58}" xr6:coauthVersionLast="47" xr6:coauthVersionMax="47" xr10:uidLastSave="{00000000-0000-0000-0000-000000000000}"/>
  <bookViews>
    <workbookView xWindow="-120" yWindow="-120" windowWidth="29040" windowHeight="16440" tabRatio="993" xr2:uid="{00000000-000D-0000-FFFF-FFFF00000000}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BUPL-FOA" sheetId="20" r:id="rId5"/>
    <sheet name="3f (LS_DSSV)" sheetId="24" state="hidden" r:id="rId6"/>
    <sheet name="HK (LS)" sheetId="16" state="hidden" r:id="rId7"/>
    <sheet name="3F" sheetId="33" r:id="rId8"/>
    <sheet name="3F (DPS)" sheetId="32" state="hidden" r:id="rId9"/>
    <sheet name="HK" sheetId="34" r:id="rId10"/>
    <sheet name="Generelle satser" sheetId="11" r:id="rId11"/>
    <sheet name="Statens skalatrin" sheetId="10" r:id="rId12"/>
    <sheet name="Løntabel gældende fra" sheetId="12" r:id="rId13"/>
  </sheets>
  <externalReferences>
    <externalReference r:id="rId14"/>
  </externalReferences>
  <definedNames>
    <definedName name="procentregulering">[1]aarslon!$A$1</definedName>
    <definedName name="_xlnm.Print_Area" localSheetId="7">'3F'!$A$1:$J$67</definedName>
    <definedName name="_xlnm.Print_Area" localSheetId="5">'3f (LS_DSSV)'!$A$1:$J$59</definedName>
    <definedName name="_xlnm.Print_Area" localSheetId="4">'BUPL-FOA'!$A$1:$H$101</definedName>
    <definedName name="_xlnm.Print_Area" localSheetId="0">'Forside 1'!$A$1:$I$28</definedName>
    <definedName name="_xlnm.Print_Area" localSheetId="10">'Generelle satser'!$A$1:$H$111</definedName>
    <definedName name="_xlnm.Print_Area" localSheetId="9">HK!$A$1:$K$77</definedName>
    <definedName name="_xlnm.Print_Area" localSheetId="6">'HK (LS)'!$A$1:$G$38</definedName>
    <definedName name="_xlnm.Print_Area" localSheetId="3">Ledere!$A$1:$G$89</definedName>
    <definedName name="_xlnm.Print_Area" localSheetId="2">'Lærere og bh kl ledere'!$A$1:$I$168</definedName>
    <definedName name="_xlnm.Print_Area" localSheetId="12">'Løntabel gældende fra'!$A$1:$G$31</definedName>
    <definedName name="_xlnm.Print_Area" localSheetId="11">'Statens skalatrin'!$A$1:$P$158</definedName>
    <definedName name="_xlnm.Print_Titles" localSheetId="7">'3F'!$1:$6</definedName>
    <definedName name="_xlnm.Print_Titles" localSheetId="5">'3f (LS_DSSV)'!$1:$4</definedName>
    <definedName name="_xlnm.Print_Titles" localSheetId="4">'BUPL-FOA'!$1:$3</definedName>
    <definedName name="_xlnm.Print_Titles" localSheetId="10">'Generelle satser'!$1:$1</definedName>
    <definedName name="_xlnm.Print_Titles" localSheetId="3">Ledere!#REF!</definedName>
    <definedName name="_xlnm.Print_Titles" localSheetId="2">'Lærere og bh kl ledere'!$1:$3</definedName>
    <definedName name="_xlnm.Print_Titles" localSheetId="11">'Statens skalatrin'!$1:$5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0" i="20" l="1"/>
  <c r="H70" i="20" s="1"/>
  <c r="F69" i="20"/>
  <c r="H69" i="20" s="1"/>
  <c r="F68" i="20"/>
  <c r="H68" i="20" s="1"/>
  <c r="F66" i="20"/>
  <c r="F67" i="20"/>
  <c r="H67" i="20" s="1"/>
  <c r="H66" i="20"/>
  <c r="F60" i="20" l="1"/>
  <c r="F53" i="20"/>
  <c r="F61" i="20" l="1"/>
  <c r="H61" i="20" s="1"/>
  <c r="H60" i="20"/>
  <c r="G55" i="20"/>
  <c r="F55" i="20"/>
  <c r="H55" i="20" s="1"/>
  <c r="G47" i="20"/>
  <c r="F47" i="20"/>
  <c r="H47" i="20" s="1"/>
  <c r="A27" i="11"/>
  <c r="I91" i="1" l="1"/>
  <c r="I92" i="1"/>
  <c r="I83" i="1" l="1"/>
  <c r="I82" i="1"/>
  <c r="J41" i="34"/>
  <c r="J32" i="34"/>
  <c r="J21" i="34"/>
  <c r="F20" i="33"/>
  <c r="F54" i="20"/>
  <c r="H54" i="20" s="1"/>
  <c r="H53" i="20"/>
  <c r="H79" i="20"/>
  <c r="H76" i="20"/>
  <c r="H57" i="11"/>
  <c r="D34" i="33"/>
  <c r="D33" i="33"/>
  <c r="F32" i="33"/>
  <c r="F19" i="33"/>
  <c r="F21" i="33"/>
  <c r="A2" i="13" l="1"/>
  <c r="G77" i="34" l="1"/>
  <c r="H77" i="34" s="1"/>
  <c r="G73" i="34"/>
  <c r="H73" i="34" s="1"/>
  <c r="G74" i="34"/>
  <c r="H74" i="34" s="1"/>
  <c r="G75" i="34"/>
  <c r="H75" i="34" s="1"/>
  <c r="G72" i="34"/>
  <c r="H72" i="34" s="1"/>
  <c r="G68" i="34"/>
  <c r="H68" i="34" s="1"/>
  <c r="G69" i="34"/>
  <c r="H69" i="34" s="1"/>
  <c r="G70" i="34"/>
  <c r="H70" i="34" s="1"/>
  <c r="G67" i="34"/>
  <c r="H67" i="34" s="1"/>
  <c r="D77" i="34"/>
  <c r="E77" i="34" s="1"/>
  <c r="D73" i="34"/>
  <c r="E73" i="34" s="1"/>
  <c r="D74" i="34"/>
  <c r="E74" i="34" s="1"/>
  <c r="D75" i="34"/>
  <c r="E75" i="34" s="1"/>
  <c r="D72" i="34"/>
  <c r="E72" i="34" s="1"/>
  <c r="D68" i="34"/>
  <c r="E68" i="34" s="1"/>
  <c r="D69" i="34"/>
  <c r="E69" i="34" s="1"/>
  <c r="D70" i="34"/>
  <c r="E70" i="34" s="1"/>
  <c r="D67" i="34"/>
  <c r="E67" i="34" s="1"/>
  <c r="I59" i="34"/>
  <c r="I53" i="34"/>
  <c r="I52" i="34"/>
  <c r="I67" i="33"/>
  <c r="I55" i="33"/>
  <c r="I49" i="33"/>
  <c r="I41" i="33"/>
  <c r="I42" i="33"/>
  <c r="I43" i="33"/>
  <c r="I40" i="33"/>
  <c r="F27" i="33"/>
  <c r="F100" i="20"/>
  <c r="F99" i="20"/>
  <c r="G89" i="20"/>
  <c r="G88" i="20"/>
  <c r="H83" i="20"/>
  <c r="H82" i="20"/>
  <c r="H81" i="20"/>
  <c r="H80" i="20"/>
  <c r="H77" i="20"/>
  <c r="F48" i="20"/>
  <c r="H48" i="20" s="1"/>
  <c r="G11" i="1"/>
  <c r="H11" i="1" s="1"/>
  <c r="G12" i="1"/>
  <c r="H12" i="1" s="1"/>
  <c r="G13" i="1"/>
  <c r="H13" i="1" s="1"/>
  <c r="G10" i="1"/>
  <c r="H10" i="1" s="1"/>
  <c r="D13" i="1"/>
  <c r="E13" i="1" s="1"/>
  <c r="D12" i="1"/>
  <c r="E12" i="1" s="1"/>
  <c r="D11" i="1"/>
  <c r="E11" i="1" s="1"/>
  <c r="D10" i="1"/>
  <c r="E10" i="1" s="1"/>
  <c r="F110" i="1"/>
  <c r="F109" i="1"/>
  <c r="F108" i="1"/>
  <c r="G104" i="1"/>
  <c r="G103" i="1"/>
  <c r="G100" i="1"/>
  <c r="G99" i="1"/>
  <c r="F104" i="1"/>
  <c r="F103" i="1"/>
  <c r="F100" i="1"/>
  <c r="F99" i="1"/>
  <c r="I90" i="1"/>
  <c r="I89" i="1"/>
  <c r="I77" i="1"/>
  <c r="H71" i="1"/>
  <c r="I71" i="1" s="1"/>
  <c r="D65" i="1"/>
  <c r="F65" i="1" s="1"/>
  <c r="D64" i="1"/>
  <c r="F64" i="1" s="1"/>
  <c r="D63" i="1"/>
  <c r="F63" i="1" s="1"/>
  <c r="D62" i="1"/>
  <c r="F62" i="1" s="1"/>
  <c r="D56" i="1"/>
  <c r="F56" i="1" s="1"/>
  <c r="D55" i="1"/>
  <c r="F55" i="1" s="1"/>
  <c r="D54" i="1"/>
  <c r="F54" i="1" s="1"/>
  <c r="D53" i="1"/>
  <c r="F53" i="1" s="1"/>
  <c r="D47" i="1"/>
  <c r="F47" i="1" s="1"/>
  <c r="D46" i="1"/>
  <c r="F46" i="1" s="1"/>
  <c r="D45" i="1"/>
  <c r="F45" i="1" s="1"/>
  <c r="H23" i="1"/>
  <c r="H22" i="1"/>
  <c r="H21" i="1"/>
  <c r="H20" i="1"/>
  <c r="E23" i="1"/>
  <c r="E22" i="1"/>
  <c r="E21" i="1"/>
  <c r="E20" i="1"/>
  <c r="C29" i="1" s="1"/>
  <c r="E24" i="11"/>
  <c r="E23" i="11"/>
  <c r="E22" i="11"/>
  <c r="F34" i="33" l="1"/>
  <c r="F33" i="33"/>
  <c r="F29" i="11"/>
  <c r="H29" i="11"/>
  <c r="H63" i="11" l="1"/>
  <c r="H62" i="11"/>
  <c r="H61" i="11"/>
  <c r="H60" i="11"/>
  <c r="H58" i="11"/>
  <c r="H56" i="11"/>
  <c r="D29" i="13" l="1"/>
  <c r="C29" i="13"/>
  <c r="C23" i="13"/>
  <c r="C22" i="13"/>
  <c r="D21" i="13"/>
  <c r="C21" i="13"/>
  <c r="C65" i="34" l="1"/>
  <c r="F65" i="34" s="1"/>
  <c r="I58" i="34"/>
  <c r="E65" i="34" s="1"/>
  <c r="H65" i="34" s="1"/>
  <c r="I51" i="34"/>
  <c r="D65" i="34" l="1"/>
  <c r="G65" i="34" s="1"/>
  <c r="E21" i="13" l="1"/>
  <c r="F13" i="13"/>
  <c r="E13" i="13"/>
  <c r="F26" i="33"/>
  <c r="F61" i="1"/>
  <c r="D61" i="1"/>
  <c r="B148" i="1"/>
  <c r="F148" i="1" s="1"/>
  <c r="B147" i="1"/>
  <c r="F147" i="1" s="1"/>
  <c r="B146" i="1"/>
  <c r="F146" i="1" s="1"/>
  <c r="B145" i="1"/>
  <c r="F145" i="1" s="1"/>
  <c r="B121" i="1"/>
  <c r="F121" i="1" s="1"/>
  <c r="B120" i="1"/>
  <c r="F120" i="1" s="1"/>
  <c r="B119" i="1"/>
  <c r="F119" i="1" s="1"/>
  <c r="B118" i="1"/>
  <c r="F118" i="1" s="1"/>
  <c r="O45" i="10"/>
  <c r="O46" i="10" s="1"/>
  <c r="G16" i="34" s="1"/>
  <c r="J16" i="34" s="1"/>
  <c r="O54" i="10"/>
  <c r="O55" i="10" s="1"/>
  <c r="G11" i="24" s="1"/>
  <c r="J11" i="24" s="1"/>
  <c r="H11" i="24" s="1"/>
  <c r="O63" i="10"/>
  <c r="O64" i="10" s="1"/>
  <c r="G24" i="34" s="1"/>
  <c r="J24" i="34" s="1"/>
  <c r="F97" i="1"/>
  <c r="F101" i="1"/>
  <c r="A91" i="20"/>
  <c r="F87" i="10"/>
  <c r="F88" i="10" s="1"/>
  <c r="F44" i="13"/>
  <c r="F43" i="13"/>
  <c r="E40" i="10"/>
  <c r="E41" i="10" s="1"/>
  <c r="F39" i="10"/>
  <c r="F40" i="10" s="1"/>
  <c r="G40" i="10"/>
  <c r="G41" i="10" s="1"/>
  <c r="H39" i="10"/>
  <c r="H40" i="10" s="1"/>
  <c r="I40" i="10"/>
  <c r="I41" i="10" s="1"/>
  <c r="J39" i="10"/>
  <c r="J40" i="10" s="1"/>
  <c r="K40" i="10"/>
  <c r="K41" i="10" s="1"/>
  <c r="L39" i="10"/>
  <c r="L40" i="10" s="1"/>
  <c r="M41" i="10"/>
  <c r="N41" i="10"/>
  <c r="O39" i="10"/>
  <c r="O40" i="10" s="1"/>
  <c r="D39" i="10"/>
  <c r="D40" i="10" s="1"/>
  <c r="F65" i="13"/>
  <c r="D65" i="13"/>
  <c r="B67" i="13"/>
  <c r="C67" i="13" s="1"/>
  <c r="B68" i="13"/>
  <c r="B69" i="13"/>
  <c r="B70" i="13"/>
  <c r="B71" i="13"/>
  <c r="B72" i="13"/>
  <c r="B73" i="13"/>
  <c r="B74" i="13"/>
  <c r="B75" i="13"/>
  <c r="B76" i="13"/>
  <c r="B77" i="13"/>
  <c r="C77" i="13" s="1"/>
  <c r="B78" i="13"/>
  <c r="B79" i="13"/>
  <c r="B80" i="13"/>
  <c r="B81" i="13"/>
  <c r="B82" i="13"/>
  <c r="B83" i="13"/>
  <c r="B84" i="13"/>
  <c r="B85" i="13"/>
  <c r="C85" i="13" s="1"/>
  <c r="B86" i="13"/>
  <c r="A1" i="10"/>
  <c r="A3" i="34"/>
  <c r="I54" i="32"/>
  <c r="I47" i="32"/>
  <c r="I40" i="32"/>
  <c r="I33" i="32"/>
  <c r="I23" i="32"/>
  <c r="A3" i="32"/>
  <c r="A3" i="33"/>
  <c r="A3" i="20"/>
  <c r="E35" i="13"/>
  <c r="E10" i="13"/>
  <c r="E19" i="13"/>
  <c r="E8" i="13"/>
  <c r="F52" i="1"/>
  <c r="D52" i="1"/>
  <c r="A29" i="1"/>
  <c r="A26" i="1"/>
  <c r="A3" i="1"/>
  <c r="G30" i="11"/>
  <c r="H30" i="11" s="1"/>
  <c r="G31" i="11"/>
  <c r="H31" i="11" s="1"/>
  <c r="G32" i="11"/>
  <c r="H32" i="11" s="1"/>
  <c r="G33" i="11"/>
  <c r="H33" i="11" s="1"/>
  <c r="E30" i="11"/>
  <c r="F30" i="11" s="1"/>
  <c r="E31" i="11"/>
  <c r="F31" i="11" s="1"/>
  <c r="E32" i="11"/>
  <c r="F32" i="11" s="1"/>
  <c r="E33" i="11"/>
  <c r="F33" i="11" s="1"/>
  <c r="O57" i="10"/>
  <c r="O58" i="10" s="1"/>
  <c r="O60" i="10"/>
  <c r="O61" i="10" s="1"/>
  <c r="G13" i="20" s="1"/>
  <c r="H13" i="20" s="1"/>
  <c r="O66" i="10"/>
  <c r="O67" i="10" s="1"/>
  <c r="G13" i="33" s="1"/>
  <c r="O69" i="10"/>
  <c r="O70" i="10" s="1"/>
  <c r="G25" i="34" s="1"/>
  <c r="J25" i="34" s="1"/>
  <c r="O72" i="10"/>
  <c r="O73" i="10" s="1"/>
  <c r="G17" i="20" s="1"/>
  <c r="H17" i="20" s="1"/>
  <c r="O75" i="10"/>
  <c r="O76" i="10" s="1"/>
  <c r="O77" i="10" s="1"/>
  <c r="O78" i="10"/>
  <c r="O79" i="10" s="1"/>
  <c r="G19" i="20" s="1"/>
  <c r="H19" i="20" s="1"/>
  <c r="O81" i="10"/>
  <c r="O82" i="10" s="1"/>
  <c r="O84" i="10"/>
  <c r="O85" i="10" s="1"/>
  <c r="O87" i="10"/>
  <c r="O88" i="10" s="1"/>
  <c r="G22" i="20" s="1"/>
  <c r="H22" i="20" s="1"/>
  <c r="O90" i="10"/>
  <c r="O91" i="10" s="1"/>
  <c r="G34" i="34" s="1"/>
  <c r="J34" i="34" s="1"/>
  <c r="O93" i="10"/>
  <c r="O94" i="10" s="1"/>
  <c r="G24" i="20" s="1"/>
  <c r="H24" i="20" s="1"/>
  <c r="O96" i="10"/>
  <c r="O97" i="10" s="1"/>
  <c r="G35" i="34" s="1"/>
  <c r="J35" i="34" s="1"/>
  <c r="O99" i="10"/>
  <c r="O100" i="10" s="1"/>
  <c r="G26" i="20" s="1"/>
  <c r="H26" i="20" s="1"/>
  <c r="O102" i="10"/>
  <c r="O103" i="10" s="1"/>
  <c r="G36" i="34" s="1"/>
  <c r="J36" i="34" s="1"/>
  <c r="O105" i="10"/>
  <c r="O106" i="10" s="1"/>
  <c r="G42" i="34" s="1"/>
  <c r="J42" i="34" s="1"/>
  <c r="O108" i="10"/>
  <c r="O109" i="10" s="1"/>
  <c r="O111" i="10"/>
  <c r="O112" i="10" s="1"/>
  <c r="G43" i="34" s="1"/>
  <c r="J43" i="34" s="1"/>
  <c r="O114" i="10"/>
  <c r="O115" i="10" s="1"/>
  <c r="G31" i="20" s="1"/>
  <c r="H31" i="20" s="1"/>
  <c r="O117" i="10"/>
  <c r="O118" i="10" s="1"/>
  <c r="O51" i="10"/>
  <c r="O52" i="10" s="1"/>
  <c r="O53" i="10" s="1"/>
  <c r="O48" i="10"/>
  <c r="O49" i="10" s="1"/>
  <c r="I48" i="32"/>
  <c r="I41" i="32"/>
  <c r="I34" i="32"/>
  <c r="I25" i="32"/>
  <c r="I26" i="32"/>
  <c r="I27" i="32"/>
  <c r="I24" i="32"/>
  <c r="D57" i="10"/>
  <c r="D58" i="10" s="1"/>
  <c r="D60" i="10"/>
  <c r="D61" i="10" s="1"/>
  <c r="B13" i="20" s="1"/>
  <c r="D54" i="10"/>
  <c r="D55" i="10" s="1"/>
  <c r="D51" i="10"/>
  <c r="D52" i="10" s="1"/>
  <c r="I66" i="33"/>
  <c r="I60" i="33"/>
  <c r="I54" i="33"/>
  <c r="I48" i="33"/>
  <c r="I39" i="33"/>
  <c r="J45" i="10"/>
  <c r="J46" i="10" s="1"/>
  <c r="E16" i="34" s="1"/>
  <c r="L45" i="10"/>
  <c r="L46" i="10" s="1"/>
  <c r="F16" i="34" s="1"/>
  <c r="L63" i="10"/>
  <c r="L64" i="10" s="1"/>
  <c r="F24" i="34" s="1"/>
  <c r="J63" i="10"/>
  <c r="J64" i="10" s="1"/>
  <c r="H63" i="10"/>
  <c r="H64" i="10" s="1"/>
  <c r="H65" i="10" s="1"/>
  <c r="F63" i="10"/>
  <c r="F64" i="10" s="1"/>
  <c r="C14" i="20" s="1"/>
  <c r="D63" i="10"/>
  <c r="D64" i="10" s="1"/>
  <c r="B24" i="34" s="1"/>
  <c r="H45" i="10"/>
  <c r="H46" i="10" s="1"/>
  <c r="F45" i="10"/>
  <c r="F46" i="10" s="1"/>
  <c r="C8" i="20" s="1"/>
  <c r="D45" i="10"/>
  <c r="D46" i="10" s="1"/>
  <c r="B9" i="32" s="1"/>
  <c r="B17" i="32" s="1"/>
  <c r="L54" i="10"/>
  <c r="L55" i="10" s="1"/>
  <c r="J54" i="10"/>
  <c r="J55" i="10" s="1"/>
  <c r="E10" i="32" s="1"/>
  <c r="H54" i="10"/>
  <c r="H55" i="10" s="1"/>
  <c r="D11" i="24" s="1"/>
  <c r="F54" i="10"/>
  <c r="F55" i="10" s="1"/>
  <c r="F46" i="20"/>
  <c r="H75" i="20"/>
  <c r="G48" i="20"/>
  <c r="H46" i="20"/>
  <c r="O156" i="10"/>
  <c r="O157" i="10" s="1"/>
  <c r="O158" i="10" s="1"/>
  <c r="N158" i="10"/>
  <c r="M158" i="10"/>
  <c r="L156" i="10"/>
  <c r="L157" i="10" s="1"/>
  <c r="L158" i="10" s="1"/>
  <c r="K157" i="10"/>
  <c r="K158" i="10" s="1"/>
  <c r="J156" i="10"/>
  <c r="J157" i="10" s="1"/>
  <c r="J158" i="10" s="1"/>
  <c r="I157" i="10"/>
  <c r="I158" i="10" s="1"/>
  <c r="H156" i="10"/>
  <c r="H157" i="10" s="1"/>
  <c r="H158" i="10" s="1"/>
  <c r="G157" i="10"/>
  <c r="G158" i="10" s="1"/>
  <c r="F156" i="10"/>
  <c r="F157" i="10" s="1"/>
  <c r="F158" i="10" s="1"/>
  <c r="D156" i="10"/>
  <c r="D157" i="10" s="1"/>
  <c r="D158" i="10" s="1"/>
  <c r="O153" i="10"/>
  <c r="O154" i="10" s="1"/>
  <c r="O155" i="10" s="1"/>
  <c r="N155" i="10"/>
  <c r="M155" i="10"/>
  <c r="L153" i="10"/>
  <c r="L154" i="10" s="1"/>
  <c r="L155" i="10" s="1"/>
  <c r="K154" i="10"/>
  <c r="K155" i="10" s="1"/>
  <c r="J153" i="10"/>
  <c r="J154" i="10" s="1"/>
  <c r="J155" i="10" s="1"/>
  <c r="I154" i="10"/>
  <c r="I155" i="10" s="1"/>
  <c r="H153" i="10"/>
  <c r="H154" i="10" s="1"/>
  <c r="H155" i="10" s="1"/>
  <c r="G154" i="10"/>
  <c r="G155" i="10" s="1"/>
  <c r="F153" i="10"/>
  <c r="F154" i="10" s="1"/>
  <c r="F155" i="10" s="1"/>
  <c r="D153" i="10"/>
  <c r="D154" i="10" s="1"/>
  <c r="D155" i="10" s="1"/>
  <c r="O150" i="10"/>
  <c r="O151" i="10" s="1"/>
  <c r="O152" i="10" s="1"/>
  <c r="N152" i="10"/>
  <c r="M152" i="10"/>
  <c r="L150" i="10"/>
  <c r="L151" i="10" s="1"/>
  <c r="L152" i="10" s="1"/>
  <c r="K151" i="10"/>
  <c r="K152" i="10" s="1"/>
  <c r="J150" i="10"/>
  <c r="J151" i="10" s="1"/>
  <c r="J152" i="10" s="1"/>
  <c r="I151" i="10"/>
  <c r="I152" i="10" s="1"/>
  <c r="H150" i="10"/>
  <c r="H151" i="10" s="1"/>
  <c r="H152" i="10" s="1"/>
  <c r="G151" i="10"/>
  <c r="G152" i="10" s="1"/>
  <c r="F150" i="10"/>
  <c r="F151" i="10" s="1"/>
  <c r="F152" i="10" s="1"/>
  <c r="D150" i="10"/>
  <c r="D151" i="10" s="1"/>
  <c r="D152" i="10" s="1"/>
  <c r="O147" i="10"/>
  <c r="O148" i="10" s="1"/>
  <c r="N149" i="10"/>
  <c r="M149" i="10"/>
  <c r="L147" i="10"/>
  <c r="L148" i="10" s="1"/>
  <c r="L149" i="10" s="1"/>
  <c r="K148" i="10"/>
  <c r="K149" i="10" s="1"/>
  <c r="J147" i="10"/>
  <c r="J148" i="10" s="1"/>
  <c r="J149" i="10" s="1"/>
  <c r="I148" i="10"/>
  <c r="I149" i="10" s="1"/>
  <c r="H147" i="10"/>
  <c r="H148" i="10" s="1"/>
  <c r="D40" i="20" s="1"/>
  <c r="G148" i="10"/>
  <c r="G149" i="10" s="1"/>
  <c r="F147" i="10"/>
  <c r="F148" i="10" s="1"/>
  <c r="F149" i="10" s="1"/>
  <c r="D147" i="10"/>
  <c r="D148" i="10" s="1"/>
  <c r="B40" i="20" s="1"/>
  <c r="O144" i="10"/>
  <c r="O145" i="10" s="1"/>
  <c r="O146" i="10" s="1"/>
  <c r="N146" i="10"/>
  <c r="M146" i="10"/>
  <c r="L144" i="10"/>
  <c r="L145" i="10" s="1"/>
  <c r="L146" i="10" s="1"/>
  <c r="K145" i="10"/>
  <c r="K146" i="10" s="1"/>
  <c r="J144" i="10"/>
  <c r="J145" i="10" s="1"/>
  <c r="J146" i="10" s="1"/>
  <c r="I145" i="10"/>
  <c r="I146" i="10" s="1"/>
  <c r="H144" i="10"/>
  <c r="H145" i="10" s="1"/>
  <c r="H146" i="10" s="1"/>
  <c r="G145" i="10"/>
  <c r="G146" i="10" s="1"/>
  <c r="F144" i="10"/>
  <c r="F145" i="10" s="1"/>
  <c r="F146" i="10" s="1"/>
  <c r="D144" i="10"/>
  <c r="D145" i="10" s="1"/>
  <c r="D146" i="10" s="1"/>
  <c r="O141" i="10"/>
  <c r="O142" i="10" s="1"/>
  <c r="O143" i="10" s="1"/>
  <c r="N143" i="10"/>
  <c r="M143" i="10"/>
  <c r="L141" i="10"/>
  <c r="L142" i="10" s="1"/>
  <c r="L143" i="10" s="1"/>
  <c r="K142" i="10"/>
  <c r="K143" i="10" s="1"/>
  <c r="J141" i="10"/>
  <c r="J142" i="10" s="1"/>
  <c r="J143" i="10" s="1"/>
  <c r="I142" i="10"/>
  <c r="I143" i="10" s="1"/>
  <c r="H141" i="10"/>
  <c r="H142" i="10" s="1"/>
  <c r="H143" i="10" s="1"/>
  <c r="G142" i="10"/>
  <c r="G143" i="10" s="1"/>
  <c r="F141" i="10"/>
  <c r="F142" i="10" s="1"/>
  <c r="F143" i="10" s="1"/>
  <c r="D141" i="10"/>
  <c r="D142" i="10" s="1"/>
  <c r="D143" i="10" s="1"/>
  <c r="O138" i="10"/>
  <c r="O139" i="10" s="1"/>
  <c r="O140" i="10" s="1"/>
  <c r="N140" i="10"/>
  <c r="M140" i="10"/>
  <c r="L138" i="10"/>
  <c r="L139" i="10" s="1"/>
  <c r="L140" i="10" s="1"/>
  <c r="K139" i="10"/>
  <c r="K140" i="10" s="1"/>
  <c r="J138" i="10"/>
  <c r="J139" i="10" s="1"/>
  <c r="J140" i="10" s="1"/>
  <c r="I139" i="10"/>
  <c r="I140" i="10" s="1"/>
  <c r="H138" i="10"/>
  <c r="H139" i="10" s="1"/>
  <c r="H140" i="10" s="1"/>
  <c r="G139" i="10"/>
  <c r="G140" i="10" s="1"/>
  <c r="F138" i="10"/>
  <c r="F139" i="10" s="1"/>
  <c r="F140" i="10" s="1"/>
  <c r="D138" i="10"/>
  <c r="D139" i="10" s="1"/>
  <c r="D140" i="10" s="1"/>
  <c r="O135" i="10"/>
  <c r="O136" i="10" s="1"/>
  <c r="G39" i="20" s="1"/>
  <c r="H39" i="20" s="1"/>
  <c r="N137" i="10"/>
  <c r="M137" i="10"/>
  <c r="L135" i="10"/>
  <c r="L136" i="10" s="1"/>
  <c r="L137" i="10" s="1"/>
  <c r="K136" i="10"/>
  <c r="K137" i="10" s="1"/>
  <c r="J135" i="10"/>
  <c r="J136" i="10" s="1"/>
  <c r="J137" i="10" s="1"/>
  <c r="I136" i="10"/>
  <c r="I137" i="10" s="1"/>
  <c r="H135" i="10"/>
  <c r="H136" i="10" s="1"/>
  <c r="H137" i="10" s="1"/>
  <c r="G136" i="10"/>
  <c r="G137" i="10" s="1"/>
  <c r="F135" i="10"/>
  <c r="F136" i="10" s="1"/>
  <c r="F137" i="10" s="1"/>
  <c r="D135" i="10"/>
  <c r="D136" i="10" s="1"/>
  <c r="D137" i="10" s="1"/>
  <c r="O132" i="10"/>
  <c r="O133" i="10" s="1"/>
  <c r="N134" i="10"/>
  <c r="M134" i="10"/>
  <c r="L132" i="10"/>
  <c r="L133" i="10" s="1"/>
  <c r="K133" i="10"/>
  <c r="K134" i="10" s="1"/>
  <c r="J132" i="10"/>
  <c r="J133" i="10" s="1"/>
  <c r="I133" i="10"/>
  <c r="I134" i="10" s="1"/>
  <c r="H132" i="10"/>
  <c r="H133" i="10" s="1"/>
  <c r="G133" i="10"/>
  <c r="G134" i="10" s="1"/>
  <c r="F132" i="10"/>
  <c r="F133" i="10" s="1"/>
  <c r="D132" i="10"/>
  <c r="D133" i="10" s="1"/>
  <c r="O129" i="10"/>
  <c r="O130" i="10" s="1"/>
  <c r="O131" i="10" s="1"/>
  <c r="N131" i="10"/>
  <c r="M131" i="10"/>
  <c r="L129" i="10"/>
  <c r="L130" i="10" s="1"/>
  <c r="K130" i="10"/>
  <c r="K131" i="10" s="1"/>
  <c r="J129" i="10"/>
  <c r="J130" i="10" s="1"/>
  <c r="E45" i="34" s="1"/>
  <c r="I130" i="10"/>
  <c r="I131" i="10" s="1"/>
  <c r="H129" i="10"/>
  <c r="H130" i="10" s="1"/>
  <c r="G130" i="10"/>
  <c r="G131" i="10" s="1"/>
  <c r="F129" i="10"/>
  <c r="F130" i="10" s="1"/>
  <c r="C45" i="34" s="1"/>
  <c r="D129" i="10"/>
  <c r="D130" i="10" s="1"/>
  <c r="O126" i="10"/>
  <c r="O127" i="10" s="1"/>
  <c r="O128" i="10" s="1"/>
  <c r="N128" i="10"/>
  <c r="M128" i="10"/>
  <c r="L126" i="10"/>
  <c r="L127" i="10" s="1"/>
  <c r="L128" i="10" s="1"/>
  <c r="K127" i="10"/>
  <c r="K128" i="10" s="1"/>
  <c r="J126" i="10"/>
  <c r="J127" i="10" s="1"/>
  <c r="J128" i="10" s="1"/>
  <c r="I127" i="10"/>
  <c r="I128" i="10" s="1"/>
  <c r="H126" i="10"/>
  <c r="H127" i="10" s="1"/>
  <c r="H128" i="10" s="1"/>
  <c r="G127" i="10"/>
  <c r="G128" i="10" s="1"/>
  <c r="F126" i="10"/>
  <c r="F127" i="10" s="1"/>
  <c r="F128" i="10" s="1"/>
  <c r="D126" i="10"/>
  <c r="D127" i="10" s="1"/>
  <c r="D128" i="10" s="1"/>
  <c r="O123" i="10"/>
  <c r="O124" i="10" s="1"/>
  <c r="G44" i="34" s="1"/>
  <c r="J44" i="34" s="1"/>
  <c r="N125" i="10"/>
  <c r="M125" i="10"/>
  <c r="L123" i="10"/>
  <c r="L124" i="10" s="1"/>
  <c r="F44" i="34" s="1"/>
  <c r="K124" i="10"/>
  <c r="K125" i="10" s="1"/>
  <c r="J123" i="10"/>
  <c r="J124" i="10" s="1"/>
  <c r="I124" i="10"/>
  <c r="I125" i="10" s="1"/>
  <c r="H123" i="10"/>
  <c r="H124" i="10" s="1"/>
  <c r="D44" i="34" s="1"/>
  <c r="G124" i="10"/>
  <c r="G125" i="10" s="1"/>
  <c r="F123" i="10"/>
  <c r="F124" i="10" s="1"/>
  <c r="C44" i="34" s="1"/>
  <c r="D123" i="10"/>
  <c r="D124" i="10" s="1"/>
  <c r="B44" i="34" s="1"/>
  <c r="O120" i="10"/>
  <c r="O121" i="10" s="1"/>
  <c r="N122" i="10"/>
  <c r="M122" i="10"/>
  <c r="L120" i="10"/>
  <c r="L121" i="10" s="1"/>
  <c r="K121" i="10"/>
  <c r="K122" i="10" s="1"/>
  <c r="J120" i="10"/>
  <c r="J121" i="10" s="1"/>
  <c r="I121" i="10"/>
  <c r="I122" i="10" s="1"/>
  <c r="H120" i="10"/>
  <c r="H121" i="10" s="1"/>
  <c r="G121" i="10"/>
  <c r="G122" i="10" s="1"/>
  <c r="F120" i="10"/>
  <c r="F121" i="10" s="1"/>
  <c r="D120" i="10"/>
  <c r="D121" i="10" s="1"/>
  <c r="N119" i="10"/>
  <c r="M119" i="10"/>
  <c r="L117" i="10"/>
  <c r="L118" i="10" s="1"/>
  <c r="L119" i="10" s="1"/>
  <c r="K118" i="10"/>
  <c r="K119" i="10" s="1"/>
  <c r="J117" i="10"/>
  <c r="J118" i="10" s="1"/>
  <c r="J119" i="10" s="1"/>
  <c r="I118" i="10"/>
  <c r="I119" i="10" s="1"/>
  <c r="H117" i="10"/>
  <c r="H118" i="10" s="1"/>
  <c r="G118" i="10"/>
  <c r="G119" i="10" s="1"/>
  <c r="F117" i="10"/>
  <c r="F118" i="10" s="1"/>
  <c r="D117" i="10"/>
  <c r="D118" i="10" s="1"/>
  <c r="B32" i="20" s="1"/>
  <c r="N116" i="10"/>
  <c r="M116" i="10"/>
  <c r="L114" i="10"/>
  <c r="L115" i="10" s="1"/>
  <c r="L116" i="10" s="1"/>
  <c r="K115" i="10"/>
  <c r="K116" i="10" s="1"/>
  <c r="J114" i="10"/>
  <c r="J115" i="10" s="1"/>
  <c r="I115" i="10"/>
  <c r="I116" i="10" s="1"/>
  <c r="H114" i="10"/>
  <c r="H115" i="10" s="1"/>
  <c r="H116" i="10" s="1"/>
  <c r="G115" i="10"/>
  <c r="G116" i="10" s="1"/>
  <c r="F114" i="10"/>
  <c r="F115" i="10" s="1"/>
  <c r="C31" i="20" s="1"/>
  <c r="D114" i="10"/>
  <c r="D115" i="10" s="1"/>
  <c r="D116" i="10" s="1"/>
  <c r="N113" i="10"/>
  <c r="M113" i="10"/>
  <c r="L111" i="10"/>
  <c r="L112" i="10" s="1"/>
  <c r="K112" i="10"/>
  <c r="K113" i="10" s="1"/>
  <c r="J111" i="10"/>
  <c r="J112" i="10" s="1"/>
  <c r="E43" i="34" s="1"/>
  <c r="I112" i="10"/>
  <c r="I113" i="10" s="1"/>
  <c r="H111" i="10"/>
  <c r="H112" i="10" s="1"/>
  <c r="D43" i="34" s="1"/>
  <c r="G112" i="10"/>
  <c r="G113" i="10" s="1"/>
  <c r="F111" i="10"/>
  <c r="F112" i="10" s="1"/>
  <c r="D111" i="10"/>
  <c r="D112" i="10" s="1"/>
  <c r="B30" i="20" s="1"/>
  <c r="N110" i="10"/>
  <c r="M110" i="10"/>
  <c r="L108" i="10"/>
  <c r="L109" i="10" s="1"/>
  <c r="L110" i="10" s="1"/>
  <c r="K109" i="10"/>
  <c r="K110" i="10" s="1"/>
  <c r="J108" i="10"/>
  <c r="J109" i="10" s="1"/>
  <c r="I109" i="10"/>
  <c r="I110" i="10" s="1"/>
  <c r="H108" i="10"/>
  <c r="H109" i="10" s="1"/>
  <c r="G109" i="10"/>
  <c r="G110" i="10" s="1"/>
  <c r="F108" i="10"/>
  <c r="F109" i="10" s="1"/>
  <c r="F110" i="10" s="1"/>
  <c r="D108" i="10"/>
  <c r="D109" i="10" s="1"/>
  <c r="N107" i="10"/>
  <c r="M107" i="10"/>
  <c r="L105" i="10"/>
  <c r="L106" i="10" s="1"/>
  <c r="K106" i="10"/>
  <c r="K107" i="10" s="1"/>
  <c r="J105" i="10"/>
  <c r="J106" i="10" s="1"/>
  <c r="I106" i="10"/>
  <c r="I107" i="10" s="1"/>
  <c r="H105" i="10"/>
  <c r="H106" i="10" s="1"/>
  <c r="D42" i="34" s="1"/>
  <c r="G106" i="10"/>
  <c r="G107" i="10" s="1"/>
  <c r="F105" i="10"/>
  <c r="F106" i="10" s="1"/>
  <c r="C42" i="34" s="1"/>
  <c r="D105" i="10"/>
  <c r="D106" i="10" s="1"/>
  <c r="B42" i="34" s="1"/>
  <c r="N104" i="10"/>
  <c r="M104" i="10"/>
  <c r="L102" i="10"/>
  <c r="L103" i="10" s="1"/>
  <c r="F36" i="34" s="1"/>
  <c r="K103" i="10"/>
  <c r="K104" i="10" s="1"/>
  <c r="J102" i="10"/>
  <c r="J103" i="10" s="1"/>
  <c r="E36" i="34" s="1"/>
  <c r="I103" i="10"/>
  <c r="I104" i="10" s="1"/>
  <c r="H102" i="10"/>
  <c r="H103" i="10" s="1"/>
  <c r="G103" i="10"/>
  <c r="G104" i="10" s="1"/>
  <c r="F102" i="10"/>
  <c r="F103" i="10" s="1"/>
  <c r="C27" i="20" s="1"/>
  <c r="D102" i="10"/>
  <c r="D103" i="10" s="1"/>
  <c r="B36" i="34" s="1"/>
  <c r="N101" i="10"/>
  <c r="M101" i="10"/>
  <c r="L99" i="10"/>
  <c r="L100" i="10" s="1"/>
  <c r="L101" i="10" s="1"/>
  <c r="K100" i="10"/>
  <c r="K101" i="10" s="1"/>
  <c r="J99" i="10"/>
  <c r="J100" i="10" s="1"/>
  <c r="J101" i="10" s="1"/>
  <c r="I100" i="10"/>
  <c r="I101" i="10" s="1"/>
  <c r="H99" i="10"/>
  <c r="H100" i="10" s="1"/>
  <c r="H101" i="10" s="1"/>
  <c r="G100" i="10"/>
  <c r="G101" i="10" s="1"/>
  <c r="F99" i="10"/>
  <c r="F100" i="10" s="1"/>
  <c r="D99" i="10"/>
  <c r="D100" i="10" s="1"/>
  <c r="N98" i="10"/>
  <c r="M98" i="10"/>
  <c r="L96" i="10"/>
  <c r="L97" i="10" s="1"/>
  <c r="K97" i="10"/>
  <c r="K98" i="10" s="1"/>
  <c r="J96" i="10"/>
  <c r="J97" i="10" s="1"/>
  <c r="E35" i="34" s="1"/>
  <c r="I97" i="10"/>
  <c r="I98" i="10" s="1"/>
  <c r="H96" i="10"/>
  <c r="H97" i="10" s="1"/>
  <c r="D35" i="34" s="1"/>
  <c r="G97" i="10"/>
  <c r="G98" i="10" s="1"/>
  <c r="F96" i="10"/>
  <c r="F97" i="10" s="1"/>
  <c r="D96" i="10"/>
  <c r="D97" i="10" s="1"/>
  <c r="B35" i="34" s="1"/>
  <c r="N95" i="10"/>
  <c r="M95" i="10"/>
  <c r="L93" i="10"/>
  <c r="L94" i="10" s="1"/>
  <c r="L95" i="10" s="1"/>
  <c r="K94" i="10"/>
  <c r="K95" i="10" s="1"/>
  <c r="J93" i="10"/>
  <c r="J94" i="10" s="1"/>
  <c r="I94" i="10"/>
  <c r="I95" i="10" s="1"/>
  <c r="H93" i="10"/>
  <c r="H94" i="10" s="1"/>
  <c r="H95" i="10" s="1"/>
  <c r="G94" i="10"/>
  <c r="G95" i="10" s="1"/>
  <c r="F93" i="10"/>
  <c r="F94" i="10" s="1"/>
  <c r="D93" i="10"/>
  <c r="D94" i="10" s="1"/>
  <c r="B24" i="20" s="1"/>
  <c r="N92" i="10"/>
  <c r="M92" i="10"/>
  <c r="L90" i="10"/>
  <c r="L91" i="10" s="1"/>
  <c r="F34" i="34" s="1"/>
  <c r="K91" i="10"/>
  <c r="K92" i="10" s="1"/>
  <c r="J90" i="10"/>
  <c r="J91" i="10" s="1"/>
  <c r="I91" i="10"/>
  <c r="I92" i="10" s="1"/>
  <c r="H90" i="10"/>
  <c r="H91" i="10" s="1"/>
  <c r="D34" i="34" s="1"/>
  <c r="G91" i="10"/>
  <c r="G92" i="10" s="1"/>
  <c r="F90" i="10"/>
  <c r="F91" i="10" s="1"/>
  <c r="D90" i="10"/>
  <c r="D91" i="10" s="1"/>
  <c r="B34" i="34" s="1"/>
  <c r="N89" i="10"/>
  <c r="M89" i="10"/>
  <c r="L87" i="10"/>
  <c r="L88" i="10" s="1"/>
  <c r="L89" i="10" s="1"/>
  <c r="K88" i="10"/>
  <c r="K89" i="10" s="1"/>
  <c r="J87" i="10"/>
  <c r="J88" i="10" s="1"/>
  <c r="J89" i="10" s="1"/>
  <c r="I88" i="10"/>
  <c r="I89" i="10" s="1"/>
  <c r="H87" i="10"/>
  <c r="H88" i="10" s="1"/>
  <c r="D22" i="20" s="1"/>
  <c r="G88" i="10"/>
  <c r="G89" i="10" s="1"/>
  <c r="E88" i="10"/>
  <c r="E89" i="10" s="1"/>
  <c r="D87" i="10"/>
  <c r="D88" i="10" s="1"/>
  <c r="D89" i="10" s="1"/>
  <c r="O86" i="10"/>
  <c r="N86" i="10"/>
  <c r="M86" i="10"/>
  <c r="L84" i="10"/>
  <c r="L85" i="10" s="1"/>
  <c r="F21" i="20" s="1"/>
  <c r="K85" i="10"/>
  <c r="K86" i="10" s="1"/>
  <c r="J84" i="10"/>
  <c r="J85" i="10" s="1"/>
  <c r="I85" i="10"/>
  <c r="I86" i="10" s="1"/>
  <c r="H84" i="10"/>
  <c r="H85" i="10" s="1"/>
  <c r="D33" i="34" s="1"/>
  <c r="G85" i="10"/>
  <c r="G86" i="10" s="1"/>
  <c r="F84" i="10"/>
  <c r="F85" i="10" s="1"/>
  <c r="D84" i="10"/>
  <c r="D85" i="10" s="1"/>
  <c r="B33" i="34" s="1"/>
  <c r="O83" i="10"/>
  <c r="N83" i="10"/>
  <c r="M83" i="10"/>
  <c r="L81" i="10"/>
  <c r="L82" i="10" s="1"/>
  <c r="K82" i="10"/>
  <c r="K83" i="10" s="1"/>
  <c r="J81" i="10"/>
  <c r="J82" i="10" s="1"/>
  <c r="I82" i="10"/>
  <c r="I83" i="10" s="1"/>
  <c r="H81" i="10"/>
  <c r="H82" i="10" s="1"/>
  <c r="G82" i="10"/>
  <c r="G83" i="10" s="1"/>
  <c r="F81" i="10"/>
  <c r="F82" i="10" s="1"/>
  <c r="C20" i="20" s="1"/>
  <c r="D81" i="10"/>
  <c r="D82" i="10" s="1"/>
  <c r="N80" i="10"/>
  <c r="M80" i="10"/>
  <c r="L78" i="10"/>
  <c r="L79" i="10" s="1"/>
  <c r="F19" i="20" s="1"/>
  <c r="K79" i="10"/>
  <c r="K80" i="10" s="1"/>
  <c r="J78" i="10"/>
  <c r="J79" i="10" s="1"/>
  <c r="J80" i="10" s="1"/>
  <c r="I79" i="10"/>
  <c r="I80" i="10" s="1"/>
  <c r="H78" i="10"/>
  <c r="H79" i="10" s="1"/>
  <c r="D19" i="20" s="1"/>
  <c r="G79" i="10"/>
  <c r="G80" i="10" s="1"/>
  <c r="F78" i="10"/>
  <c r="F79" i="10" s="1"/>
  <c r="C19" i="20" s="1"/>
  <c r="D78" i="10"/>
  <c r="D79" i="10" s="1"/>
  <c r="N77" i="10"/>
  <c r="M77" i="10"/>
  <c r="L75" i="10"/>
  <c r="L76" i="10" s="1"/>
  <c r="K76" i="10"/>
  <c r="K77" i="10" s="1"/>
  <c r="J75" i="10"/>
  <c r="J76" i="10" s="1"/>
  <c r="E26" i="34" s="1"/>
  <c r="I76" i="10"/>
  <c r="I77" i="10" s="1"/>
  <c r="H75" i="10"/>
  <c r="H76" i="10" s="1"/>
  <c r="D26" i="34" s="1"/>
  <c r="G76" i="10"/>
  <c r="G77" i="10" s="1"/>
  <c r="F75" i="10"/>
  <c r="F76" i="10" s="1"/>
  <c r="C26" i="34" s="1"/>
  <c r="D75" i="10"/>
  <c r="D76" i="10" s="1"/>
  <c r="N74" i="10"/>
  <c r="M74" i="10"/>
  <c r="L72" i="10"/>
  <c r="L73" i="10" s="1"/>
  <c r="F17" i="20" s="1"/>
  <c r="K73" i="10"/>
  <c r="K74" i="10" s="1"/>
  <c r="J72" i="10"/>
  <c r="J73" i="10" s="1"/>
  <c r="I73" i="10"/>
  <c r="I74" i="10" s="1"/>
  <c r="H72" i="10"/>
  <c r="H73" i="10" s="1"/>
  <c r="G73" i="10"/>
  <c r="G74" i="10" s="1"/>
  <c r="F72" i="10"/>
  <c r="F73" i="10" s="1"/>
  <c r="C17" i="20" s="1"/>
  <c r="D72" i="10"/>
  <c r="D73" i="10" s="1"/>
  <c r="N71" i="10"/>
  <c r="M71" i="10"/>
  <c r="L69" i="10"/>
  <c r="L70" i="10" s="1"/>
  <c r="K70" i="10"/>
  <c r="K71" i="10" s="1"/>
  <c r="J69" i="10"/>
  <c r="J70" i="10" s="1"/>
  <c r="E25" i="34" s="1"/>
  <c r="I70" i="10"/>
  <c r="I71" i="10" s="1"/>
  <c r="H69" i="10"/>
  <c r="H70" i="10" s="1"/>
  <c r="D25" i="34" s="1"/>
  <c r="G70" i="10"/>
  <c r="G71" i="10" s="1"/>
  <c r="F69" i="10"/>
  <c r="F70" i="10" s="1"/>
  <c r="D69" i="10"/>
  <c r="D70" i="10" s="1"/>
  <c r="O68" i="10"/>
  <c r="N68" i="10"/>
  <c r="M68" i="10"/>
  <c r="L66" i="10"/>
  <c r="L67" i="10" s="1"/>
  <c r="K67" i="10"/>
  <c r="K68" i="10" s="1"/>
  <c r="J66" i="10"/>
  <c r="J67" i="10" s="1"/>
  <c r="E13" i="33" s="1"/>
  <c r="E14" i="33" s="1"/>
  <c r="I67" i="10"/>
  <c r="I68" i="10" s="1"/>
  <c r="H66" i="10"/>
  <c r="H67" i="10" s="1"/>
  <c r="D15" i="20" s="1"/>
  <c r="G67" i="10"/>
  <c r="G68" i="10" s="1"/>
  <c r="F66" i="10"/>
  <c r="F67" i="10" s="1"/>
  <c r="C15" i="20" s="1"/>
  <c r="D66" i="10"/>
  <c r="D67" i="10" s="1"/>
  <c r="N65" i="10"/>
  <c r="M65" i="10"/>
  <c r="K64" i="10"/>
  <c r="K65" i="10" s="1"/>
  <c r="I64" i="10"/>
  <c r="I65" i="10" s="1"/>
  <c r="G64" i="10"/>
  <c r="G65" i="10" s="1"/>
  <c r="N62" i="10"/>
  <c r="M62" i="10"/>
  <c r="L60" i="10"/>
  <c r="L61" i="10" s="1"/>
  <c r="F13" i="20" s="1"/>
  <c r="K61" i="10"/>
  <c r="K62" i="10" s="1"/>
  <c r="J60" i="10"/>
  <c r="J61" i="10" s="1"/>
  <c r="J62" i="10" s="1"/>
  <c r="I61" i="10"/>
  <c r="I62" i="10" s="1"/>
  <c r="H60" i="10"/>
  <c r="H61" i="10" s="1"/>
  <c r="G61" i="10"/>
  <c r="G62" i="10" s="1"/>
  <c r="F60" i="10"/>
  <c r="F61" i="10" s="1"/>
  <c r="C13" i="20" s="1"/>
  <c r="N59" i="10"/>
  <c r="M59" i="10"/>
  <c r="L57" i="10"/>
  <c r="L58" i="10" s="1"/>
  <c r="F23" i="34" s="1"/>
  <c r="K58" i="10"/>
  <c r="K59" i="10" s="1"/>
  <c r="J57" i="10"/>
  <c r="J58" i="10" s="1"/>
  <c r="I58" i="10"/>
  <c r="I59" i="10" s="1"/>
  <c r="H57" i="10"/>
  <c r="H58" i="10" s="1"/>
  <c r="H59" i="10" s="1"/>
  <c r="G58" i="10"/>
  <c r="G59" i="10" s="1"/>
  <c r="F57" i="10"/>
  <c r="F58" i="10" s="1"/>
  <c r="N56" i="10"/>
  <c r="M56" i="10"/>
  <c r="K55" i="10"/>
  <c r="K56" i="10" s="1"/>
  <c r="I55" i="10"/>
  <c r="I56" i="10" s="1"/>
  <c r="G55" i="10"/>
  <c r="G56" i="10" s="1"/>
  <c r="N53" i="10"/>
  <c r="M53" i="10"/>
  <c r="L51" i="10"/>
  <c r="L52" i="10" s="1"/>
  <c r="F22" i="34" s="1"/>
  <c r="K52" i="10"/>
  <c r="K53" i="10" s="1"/>
  <c r="J51" i="10"/>
  <c r="J52" i="10" s="1"/>
  <c r="E22" i="34" s="1"/>
  <c r="I52" i="10"/>
  <c r="I53" i="10" s="1"/>
  <c r="H51" i="10"/>
  <c r="H52" i="10" s="1"/>
  <c r="D22" i="34" s="1"/>
  <c r="G52" i="10"/>
  <c r="G53" i="10" s="1"/>
  <c r="F51" i="10"/>
  <c r="F52" i="10" s="1"/>
  <c r="C22" i="34" s="1"/>
  <c r="N50" i="10"/>
  <c r="M50" i="10"/>
  <c r="L48" i="10"/>
  <c r="L49" i="10" s="1"/>
  <c r="K49" i="10"/>
  <c r="K50" i="10" s="1"/>
  <c r="J48" i="10"/>
  <c r="J49" i="10" s="1"/>
  <c r="I49" i="10"/>
  <c r="I50" i="10" s="1"/>
  <c r="H48" i="10"/>
  <c r="H49" i="10" s="1"/>
  <c r="G49" i="10"/>
  <c r="G50" i="10" s="1"/>
  <c r="F48" i="10"/>
  <c r="F49" i="10" s="1"/>
  <c r="D48" i="10"/>
  <c r="D49" i="10" s="1"/>
  <c r="B9" i="20" s="1"/>
  <c r="N47" i="10"/>
  <c r="M47" i="10"/>
  <c r="K46" i="10"/>
  <c r="K47" i="10" s="1"/>
  <c r="I46" i="10"/>
  <c r="I47" i="10" s="1"/>
  <c r="F24" i="24"/>
  <c r="C10" i="24" s="1"/>
  <c r="C18" i="24" s="1"/>
  <c r="G46" i="10"/>
  <c r="G47" i="10" s="1"/>
  <c r="O42" i="10"/>
  <c r="O43" i="10" s="1"/>
  <c r="N44" i="10"/>
  <c r="M44" i="10"/>
  <c r="L42" i="10"/>
  <c r="L43" i="10" s="1"/>
  <c r="K43" i="10"/>
  <c r="K44" i="10" s="1"/>
  <c r="J42" i="10"/>
  <c r="J43" i="10" s="1"/>
  <c r="I43" i="10"/>
  <c r="I44" i="10" s="1"/>
  <c r="H42" i="10"/>
  <c r="H43" i="10" s="1"/>
  <c r="G43" i="10"/>
  <c r="G44" i="10" s="1"/>
  <c r="F42" i="10"/>
  <c r="F43" i="10" s="1"/>
  <c r="D42" i="10"/>
  <c r="D43" i="10" s="1"/>
  <c r="O36" i="10"/>
  <c r="O37" i="10" s="1"/>
  <c r="N38" i="10"/>
  <c r="M38" i="10"/>
  <c r="L36" i="10"/>
  <c r="L37" i="10" s="1"/>
  <c r="K37" i="10"/>
  <c r="K38" i="10" s="1"/>
  <c r="J36" i="10"/>
  <c r="J37" i="10" s="1"/>
  <c r="I37" i="10"/>
  <c r="I38" i="10" s="1"/>
  <c r="H36" i="10"/>
  <c r="H37" i="10" s="1"/>
  <c r="G37" i="10"/>
  <c r="G38" i="10" s="1"/>
  <c r="F36" i="10"/>
  <c r="F37" i="10" s="1"/>
  <c r="D36" i="10"/>
  <c r="D37" i="10" s="1"/>
  <c r="O33" i="10"/>
  <c r="O34" i="10" s="1"/>
  <c r="N35" i="10"/>
  <c r="M35" i="10"/>
  <c r="L33" i="10"/>
  <c r="L34" i="10" s="1"/>
  <c r="K34" i="10"/>
  <c r="K35" i="10" s="1"/>
  <c r="J33" i="10"/>
  <c r="J34" i="10" s="1"/>
  <c r="I34" i="10"/>
  <c r="I35" i="10" s="1"/>
  <c r="H33" i="10"/>
  <c r="H34" i="10" s="1"/>
  <c r="G34" i="10"/>
  <c r="G35" i="10" s="1"/>
  <c r="F33" i="10"/>
  <c r="F34" i="10" s="1"/>
  <c r="D33" i="10"/>
  <c r="D34" i="10" s="1"/>
  <c r="O30" i="10"/>
  <c r="O31" i="10" s="1"/>
  <c r="N32" i="10"/>
  <c r="M32" i="10"/>
  <c r="L30" i="10"/>
  <c r="L31" i="10" s="1"/>
  <c r="K31" i="10"/>
  <c r="K32" i="10" s="1"/>
  <c r="J30" i="10"/>
  <c r="J31" i="10" s="1"/>
  <c r="I31" i="10"/>
  <c r="I32" i="10" s="1"/>
  <c r="H30" i="10"/>
  <c r="H31" i="10" s="1"/>
  <c r="G31" i="10"/>
  <c r="G32" i="10" s="1"/>
  <c r="F30" i="10"/>
  <c r="F31" i="10" s="1"/>
  <c r="D30" i="10"/>
  <c r="D31" i="10" s="1"/>
  <c r="O27" i="10"/>
  <c r="O28" i="10" s="1"/>
  <c r="O29" i="10" s="1"/>
  <c r="N29" i="10"/>
  <c r="M29" i="10"/>
  <c r="L27" i="10"/>
  <c r="L28" i="10" s="1"/>
  <c r="L29" i="10" s="1"/>
  <c r="K28" i="10"/>
  <c r="K29" i="10" s="1"/>
  <c r="J27" i="10"/>
  <c r="J28" i="10" s="1"/>
  <c r="J29" i="10" s="1"/>
  <c r="I28" i="10"/>
  <c r="I29" i="10" s="1"/>
  <c r="H27" i="10"/>
  <c r="H28" i="10" s="1"/>
  <c r="H29" i="10" s="1"/>
  <c r="G28" i="10"/>
  <c r="G29" i="10" s="1"/>
  <c r="F27" i="10"/>
  <c r="F28" i="10" s="1"/>
  <c r="F29" i="10" s="1"/>
  <c r="D27" i="10"/>
  <c r="D28" i="10" s="1"/>
  <c r="D29" i="10" s="1"/>
  <c r="O24" i="10"/>
  <c r="O25" i="10" s="1"/>
  <c r="O26" i="10" s="1"/>
  <c r="N26" i="10"/>
  <c r="M26" i="10"/>
  <c r="L24" i="10"/>
  <c r="L25" i="10" s="1"/>
  <c r="L26" i="10" s="1"/>
  <c r="K25" i="10"/>
  <c r="K26" i="10" s="1"/>
  <c r="J24" i="10"/>
  <c r="J25" i="10" s="1"/>
  <c r="J26" i="10" s="1"/>
  <c r="I25" i="10"/>
  <c r="I26" i="10" s="1"/>
  <c r="H24" i="10"/>
  <c r="H25" i="10" s="1"/>
  <c r="H26" i="10" s="1"/>
  <c r="G25" i="10"/>
  <c r="G26" i="10" s="1"/>
  <c r="F24" i="10"/>
  <c r="F25" i="10" s="1"/>
  <c r="F26" i="10" s="1"/>
  <c r="D24" i="10"/>
  <c r="D25" i="10" s="1"/>
  <c r="D26" i="10" s="1"/>
  <c r="O21" i="10"/>
  <c r="O22" i="10" s="1"/>
  <c r="O23" i="10" s="1"/>
  <c r="N23" i="10"/>
  <c r="M23" i="10"/>
  <c r="L21" i="10"/>
  <c r="L22" i="10" s="1"/>
  <c r="L23" i="10" s="1"/>
  <c r="K22" i="10"/>
  <c r="K23" i="10" s="1"/>
  <c r="J21" i="10"/>
  <c r="J22" i="10" s="1"/>
  <c r="J23" i="10" s="1"/>
  <c r="I22" i="10"/>
  <c r="I23" i="10" s="1"/>
  <c r="H21" i="10"/>
  <c r="H22" i="10" s="1"/>
  <c r="H23" i="10" s="1"/>
  <c r="G22" i="10"/>
  <c r="G23" i="10" s="1"/>
  <c r="F21" i="10"/>
  <c r="F22" i="10" s="1"/>
  <c r="F23" i="10" s="1"/>
  <c r="D21" i="10"/>
  <c r="D22" i="10" s="1"/>
  <c r="D23" i="10" s="1"/>
  <c r="O18" i="10"/>
  <c r="O19" i="10" s="1"/>
  <c r="O20" i="10" s="1"/>
  <c r="N20" i="10"/>
  <c r="M20" i="10"/>
  <c r="L18" i="10"/>
  <c r="L19" i="10" s="1"/>
  <c r="L20" i="10" s="1"/>
  <c r="K19" i="10"/>
  <c r="K20" i="10" s="1"/>
  <c r="J18" i="10"/>
  <c r="J19" i="10" s="1"/>
  <c r="J20" i="10" s="1"/>
  <c r="I19" i="10"/>
  <c r="I20" i="10" s="1"/>
  <c r="H18" i="10"/>
  <c r="H19" i="10" s="1"/>
  <c r="H20" i="10" s="1"/>
  <c r="G19" i="10"/>
  <c r="G20" i="10" s="1"/>
  <c r="F18" i="10"/>
  <c r="F19" i="10" s="1"/>
  <c r="F20" i="10" s="1"/>
  <c r="D18" i="10"/>
  <c r="D19" i="10" s="1"/>
  <c r="D20" i="10" s="1"/>
  <c r="O15" i="10"/>
  <c r="O16" i="10" s="1"/>
  <c r="O17" i="10" s="1"/>
  <c r="N17" i="10"/>
  <c r="M17" i="10"/>
  <c r="L15" i="10"/>
  <c r="L16" i="10" s="1"/>
  <c r="L17" i="10" s="1"/>
  <c r="K16" i="10"/>
  <c r="K17" i="10" s="1"/>
  <c r="J15" i="10"/>
  <c r="J16" i="10" s="1"/>
  <c r="J17" i="10" s="1"/>
  <c r="I16" i="10"/>
  <c r="I17" i="10" s="1"/>
  <c r="H15" i="10"/>
  <c r="H16" i="10" s="1"/>
  <c r="H17" i="10" s="1"/>
  <c r="G16" i="10"/>
  <c r="G17" i="10" s="1"/>
  <c r="F15" i="10"/>
  <c r="F16" i="10" s="1"/>
  <c r="F17" i="10" s="1"/>
  <c r="D15" i="10"/>
  <c r="D16" i="10" s="1"/>
  <c r="D17" i="10" s="1"/>
  <c r="O12" i="10"/>
  <c r="O13" i="10" s="1"/>
  <c r="O14" i="10" s="1"/>
  <c r="N14" i="10"/>
  <c r="M14" i="10"/>
  <c r="L12" i="10"/>
  <c r="L13" i="10" s="1"/>
  <c r="L14" i="10" s="1"/>
  <c r="K13" i="10"/>
  <c r="K14" i="10" s="1"/>
  <c r="J12" i="10"/>
  <c r="J13" i="10" s="1"/>
  <c r="J14" i="10" s="1"/>
  <c r="I13" i="10"/>
  <c r="I14" i="10" s="1"/>
  <c r="H12" i="10"/>
  <c r="H13" i="10" s="1"/>
  <c r="H14" i="10" s="1"/>
  <c r="G13" i="10"/>
  <c r="G14" i="10" s="1"/>
  <c r="F12" i="10"/>
  <c r="F13" i="10" s="1"/>
  <c r="F14" i="10" s="1"/>
  <c r="D12" i="10"/>
  <c r="D13" i="10" s="1"/>
  <c r="D14" i="10" s="1"/>
  <c r="O9" i="10"/>
  <c r="O10" i="10" s="1"/>
  <c r="O11" i="10" s="1"/>
  <c r="N11" i="10"/>
  <c r="M11" i="10"/>
  <c r="L9" i="10"/>
  <c r="L10" i="10" s="1"/>
  <c r="L11" i="10" s="1"/>
  <c r="K10" i="10"/>
  <c r="K11" i="10" s="1"/>
  <c r="J9" i="10"/>
  <c r="J10" i="10" s="1"/>
  <c r="J11" i="10" s="1"/>
  <c r="I10" i="10"/>
  <c r="I11" i="10" s="1"/>
  <c r="H9" i="10"/>
  <c r="H10" i="10" s="1"/>
  <c r="H11" i="10" s="1"/>
  <c r="G10" i="10"/>
  <c r="G11" i="10" s="1"/>
  <c r="F9" i="10"/>
  <c r="F10" i="10" s="1"/>
  <c r="F11" i="10" s="1"/>
  <c r="D9" i="10"/>
  <c r="D10" i="10" s="1"/>
  <c r="D11" i="10" s="1"/>
  <c r="O6" i="10"/>
  <c r="O7" i="10" s="1"/>
  <c r="O8" i="10" s="1"/>
  <c r="N8" i="10"/>
  <c r="M8" i="10"/>
  <c r="L6" i="10"/>
  <c r="L7" i="10" s="1"/>
  <c r="L8" i="10" s="1"/>
  <c r="K7" i="10"/>
  <c r="K8" i="10" s="1"/>
  <c r="J6" i="10"/>
  <c r="J7" i="10" s="1"/>
  <c r="J8" i="10" s="1"/>
  <c r="I7" i="10"/>
  <c r="I8" i="10" s="1"/>
  <c r="H6" i="10"/>
  <c r="H7" i="10" s="1"/>
  <c r="H8" i="10" s="1"/>
  <c r="G7" i="10"/>
  <c r="G8" i="10" s="1"/>
  <c r="F6" i="10"/>
  <c r="F7" i="10" s="1"/>
  <c r="F8" i="10" s="1"/>
  <c r="D6" i="10"/>
  <c r="D7" i="10" s="1"/>
  <c r="D8" i="10" s="1"/>
  <c r="F25" i="24"/>
  <c r="C167" i="1"/>
  <c r="E167" i="1" s="1"/>
  <c r="C166" i="1"/>
  <c r="E166" i="1" s="1"/>
  <c r="C165" i="1"/>
  <c r="C164" i="1"/>
  <c r="E164" i="1" s="1"/>
  <c r="C163" i="1"/>
  <c r="C159" i="1"/>
  <c r="F159" i="1" s="1"/>
  <c r="G159" i="1" s="1"/>
  <c r="H159" i="1" s="1"/>
  <c r="C161" i="1"/>
  <c r="C160" i="1"/>
  <c r="C158" i="1"/>
  <c r="E158" i="1" s="1"/>
  <c r="C157" i="1"/>
  <c r="E157" i="1" s="1"/>
  <c r="C156" i="1"/>
  <c r="C155" i="1"/>
  <c r="C154" i="1"/>
  <c r="C153" i="1"/>
  <c r="E153" i="1" s="1"/>
  <c r="C127" i="1"/>
  <c r="E127" i="1" s="1"/>
  <c r="C139" i="1"/>
  <c r="E139" i="1" s="1"/>
  <c r="C138" i="1"/>
  <c r="C133" i="1"/>
  <c r="C132" i="1"/>
  <c r="F132" i="1" s="1"/>
  <c r="G132" i="1" s="1"/>
  <c r="H132" i="1" s="1"/>
  <c r="C131" i="1"/>
  <c r="C135" i="1" s="1"/>
  <c r="C130" i="1"/>
  <c r="E130" i="1" s="1"/>
  <c r="C129" i="1"/>
  <c r="E129" i="1" s="1"/>
  <c r="C128" i="1"/>
  <c r="C126" i="1"/>
  <c r="E126" i="1" s="1"/>
  <c r="I58" i="24"/>
  <c r="I57" i="24"/>
  <c r="I52" i="24"/>
  <c r="I51" i="24"/>
  <c r="I46" i="24"/>
  <c r="I45" i="24"/>
  <c r="I40" i="24"/>
  <c r="I39" i="24"/>
  <c r="I34" i="24"/>
  <c r="I33" i="24"/>
  <c r="I32" i="24"/>
  <c r="I31" i="24"/>
  <c r="I30" i="24"/>
  <c r="F23" i="24"/>
  <c r="G100" i="20"/>
  <c r="G99" i="20"/>
  <c r="F98" i="20"/>
  <c r="G87" i="20"/>
  <c r="C21" i="16"/>
  <c r="D21" i="16"/>
  <c r="C11" i="16"/>
  <c r="D11" i="16" s="1"/>
  <c r="E11" i="16" s="1"/>
  <c r="C10" i="16"/>
  <c r="D10" i="16" s="1"/>
  <c r="E10" i="16" s="1"/>
  <c r="C9" i="16"/>
  <c r="D9" i="16"/>
  <c r="E9" i="16" s="1"/>
  <c r="C8" i="16"/>
  <c r="D8" i="16" s="1"/>
  <c r="E8" i="16" s="1"/>
  <c r="B22" i="16"/>
  <c r="C22" i="16" s="1"/>
  <c r="D22" i="16" s="1"/>
  <c r="E22" i="16" s="1"/>
  <c r="D15" i="16"/>
  <c r="C15" i="16"/>
  <c r="B17" i="16"/>
  <c r="C17" i="16" s="1"/>
  <c r="D17" i="16" s="1"/>
  <c r="E17" i="16" s="1"/>
  <c r="B16" i="16"/>
  <c r="C16" i="16" s="1"/>
  <c r="D16" i="16" s="1"/>
  <c r="E16" i="16" s="1"/>
  <c r="D7" i="16"/>
  <c r="E7" i="16"/>
  <c r="F29" i="13"/>
  <c r="E29" i="13"/>
  <c r="D28" i="13"/>
  <c r="F28" i="13" s="1"/>
  <c r="C28" i="13"/>
  <c r="E28" i="13" s="1"/>
  <c r="D27" i="13"/>
  <c r="F27" i="13" s="1"/>
  <c r="C27" i="13"/>
  <c r="E27" i="13" s="1"/>
  <c r="D25" i="13"/>
  <c r="F25" i="13" s="1"/>
  <c r="D26" i="13"/>
  <c r="F26" i="13" s="1"/>
  <c r="C26" i="13"/>
  <c r="E26" i="13" s="1"/>
  <c r="D24" i="13"/>
  <c r="C24" i="13"/>
  <c r="E24" i="13" s="1"/>
  <c r="D23" i="13"/>
  <c r="F23" i="13" s="1"/>
  <c r="E23" i="13"/>
  <c r="D22" i="13"/>
  <c r="F22" i="13" s="1"/>
  <c r="C25" i="13"/>
  <c r="E25" i="13" s="1"/>
  <c r="F21" i="13"/>
  <c r="F29" i="1"/>
  <c r="I29" i="1"/>
  <c r="H29" i="1"/>
  <c r="G29" i="1"/>
  <c r="E29" i="1"/>
  <c r="D29" i="1"/>
  <c r="F107" i="1"/>
  <c r="A48" i="13"/>
  <c r="E38" i="13"/>
  <c r="E37" i="13"/>
  <c r="F24" i="13"/>
  <c r="E22" i="13"/>
  <c r="F12" i="13"/>
  <c r="E12" i="13"/>
  <c r="F11" i="13"/>
  <c r="E11" i="13"/>
  <c r="F10" i="13"/>
  <c r="A114" i="1"/>
  <c r="D101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B61" i="1" s="1"/>
  <c r="H88" i="1"/>
  <c r="H70" i="1"/>
  <c r="G70" i="1"/>
  <c r="H76" i="1"/>
  <c r="H82" i="1" s="1"/>
  <c r="H19" i="1"/>
  <c r="H9" i="1"/>
  <c r="I70" i="1"/>
  <c r="F44" i="1"/>
  <c r="E21" i="11"/>
  <c r="A141" i="1"/>
  <c r="F151" i="1"/>
  <c r="F124" i="1"/>
  <c r="I76" i="1"/>
  <c r="I88" i="1"/>
  <c r="D44" i="1"/>
  <c r="B44" i="1"/>
  <c r="E19" i="1"/>
  <c r="D9" i="1"/>
  <c r="G9" i="1"/>
  <c r="E9" i="1"/>
  <c r="H9" i="11"/>
  <c r="F9" i="11"/>
  <c r="D9" i="11"/>
  <c r="B9" i="11"/>
  <c r="D17" i="20"/>
  <c r="H74" i="10"/>
  <c r="O80" i="10"/>
  <c r="E38" i="20"/>
  <c r="D47" i="10"/>
  <c r="H92" i="10"/>
  <c r="D23" i="20"/>
  <c r="H56" i="10"/>
  <c r="O59" i="10"/>
  <c r="E22" i="20"/>
  <c r="E19" i="20"/>
  <c r="O116" i="10"/>
  <c r="F116" i="10"/>
  <c r="O65" i="10"/>
  <c r="G11" i="32"/>
  <c r="I11" i="32" s="1"/>
  <c r="G14" i="20"/>
  <c r="H14" i="20" s="1"/>
  <c r="C22" i="20"/>
  <c r="F89" i="10"/>
  <c r="G8" i="20" l="1"/>
  <c r="H8" i="20" s="1"/>
  <c r="E32" i="20"/>
  <c r="F153" i="1"/>
  <c r="G153" i="1" s="1"/>
  <c r="H153" i="1" s="1"/>
  <c r="O122" i="10"/>
  <c r="G33" i="20"/>
  <c r="H33" i="20" s="1"/>
  <c r="H122" i="10"/>
  <c r="D33" i="20"/>
  <c r="J122" i="10"/>
  <c r="E33" i="20"/>
  <c r="D122" i="10"/>
  <c r="B33" i="20"/>
  <c r="F12" i="20"/>
  <c r="L122" i="10"/>
  <c r="F33" i="20"/>
  <c r="F122" i="10"/>
  <c r="C33" i="20"/>
  <c r="C134" i="1"/>
  <c r="F134" i="1" s="1"/>
  <c r="G134" i="1" s="1"/>
  <c r="H134" i="1" s="1"/>
  <c r="F40" i="20"/>
  <c r="G12" i="33"/>
  <c r="J12" i="33" s="1"/>
  <c r="H12" i="33" s="1"/>
  <c r="F31" i="20"/>
  <c r="D125" i="10"/>
  <c r="B37" i="20"/>
  <c r="F23" i="20"/>
  <c r="L92" i="10"/>
  <c r="J131" i="10"/>
  <c r="F39" i="20"/>
  <c r="O47" i="10"/>
  <c r="E135" i="1"/>
  <c r="F135" i="1"/>
  <c r="G135" i="1" s="1"/>
  <c r="H135" i="1" s="1"/>
  <c r="F165" i="1"/>
  <c r="G165" i="1" s="1"/>
  <c r="H165" i="1" s="1"/>
  <c r="E165" i="1"/>
  <c r="F138" i="1"/>
  <c r="G138" i="1" s="1"/>
  <c r="H138" i="1" s="1"/>
  <c r="E138" i="1"/>
  <c r="F160" i="1"/>
  <c r="G160" i="1" s="1"/>
  <c r="H160" i="1" s="1"/>
  <c r="E160" i="1"/>
  <c r="F161" i="1"/>
  <c r="G161" i="1" s="1"/>
  <c r="H161" i="1" s="1"/>
  <c r="E161" i="1"/>
  <c r="C162" i="1"/>
  <c r="E162" i="1" s="1"/>
  <c r="E159" i="1"/>
  <c r="F139" i="1"/>
  <c r="G139" i="1" s="1"/>
  <c r="H139" i="1" s="1"/>
  <c r="F129" i="1"/>
  <c r="G129" i="1" s="1"/>
  <c r="H129" i="1" s="1"/>
  <c r="F154" i="1"/>
  <c r="G154" i="1" s="1"/>
  <c r="H154" i="1" s="1"/>
  <c r="E154" i="1"/>
  <c r="F163" i="1"/>
  <c r="G163" i="1" s="1"/>
  <c r="H163" i="1" s="1"/>
  <c r="E163" i="1"/>
  <c r="C137" i="1"/>
  <c r="E137" i="1" s="1"/>
  <c r="E133" i="1"/>
  <c r="F128" i="1"/>
  <c r="G128" i="1" s="1"/>
  <c r="H128" i="1" s="1"/>
  <c r="E128" i="1"/>
  <c r="F157" i="1"/>
  <c r="G157" i="1" s="1"/>
  <c r="H157" i="1" s="1"/>
  <c r="F131" i="1"/>
  <c r="G131" i="1" s="1"/>
  <c r="H131" i="1" s="1"/>
  <c r="E131" i="1"/>
  <c r="F155" i="1"/>
  <c r="G155" i="1" s="1"/>
  <c r="H155" i="1" s="1"/>
  <c r="E155" i="1"/>
  <c r="F164" i="1"/>
  <c r="G164" i="1" s="1"/>
  <c r="H164" i="1" s="1"/>
  <c r="C136" i="1"/>
  <c r="E136" i="1" s="1"/>
  <c r="E132" i="1"/>
  <c r="F156" i="1"/>
  <c r="G156" i="1" s="1"/>
  <c r="H156" i="1" s="1"/>
  <c r="E156" i="1"/>
  <c r="C40" i="20"/>
  <c r="H80" i="10"/>
  <c r="C37" i="20"/>
  <c r="F125" i="10"/>
  <c r="H68" i="10"/>
  <c r="B23" i="20"/>
  <c r="G10" i="33"/>
  <c r="D83" i="13"/>
  <c r="E83" i="13" s="1"/>
  <c r="F83" i="13" s="1"/>
  <c r="G83" i="13" s="1"/>
  <c r="C83" i="13"/>
  <c r="D79" i="13"/>
  <c r="E79" i="13" s="1"/>
  <c r="F79" i="13" s="1"/>
  <c r="G79" i="13" s="1"/>
  <c r="C79" i="13"/>
  <c r="D75" i="13"/>
  <c r="E75" i="13" s="1"/>
  <c r="F75" i="13" s="1"/>
  <c r="G75" i="13" s="1"/>
  <c r="C75" i="13"/>
  <c r="D71" i="13"/>
  <c r="E71" i="13" s="1"/>
  <c r="F71" i="13" s="1"/>
  <c r="G71" i="13" s="1"/>
  <c r="C71" i="13"/>
  <c r="D86" i="13"/>
  <c r="E86" i="13" s="1"/>
  <c r="F86" i="13" s="1"/>
  <c r="G86" i="13" s="1"/>
  <c r="C86" i="13"/>
  <c r="D82" i="13"/>
  <c r="E82" i="13" s="1"/>
  <c r="F82" i="13" s="1"/>
  <c r="G82" i="13" s="1"/>
  <c r="C82" i="13"/>
  <c r="D78" i="13"/>
  <c r="E78" i="13" s="1"/>
  <c r="F78" i="13" s="1"/>
  <c r="G78" i="13" s="1"/>
  <c r="C78" i="13"/>
  <c r="D74" i="13"/>
  <c r="E74" i="13" s="1"/>
  <c r="F74" i="13" s="1"/>
  <c r="G74" i="13" s="1"/>
  <c r="C74" i="13"/>
  <c r="D70" i="13"/>
  <c r="E70" i="13" s="1"/>
  <c r="F70" i="13" s="1"/>
  <c r="G70" i="13" s="1"/>
  <c r="C70" i="13"/>
  <c r="D73" i="13"/>
  <c r="E73" i="13" s="1"/>
  <c r="F73" i="13" s="1"/>
  <c r="G73" i="13" s="1"/>
  <c r="C73" i="13"/>
  <c r="D69" i="13"/>
  <c r="E69" i="13" s="1"/>
  <c r="F69" i="13" s="1"/>
  <c r="G69" i="13" s="1"/>
  <c r="C69" i="13"/>
  <c r="D81" i="13"/>
  <c r="E81" i="13" s="1"/>
  <c r="F81" i="13" s="1"/>
  <c r="G81" i="13" s="1"/>
  <c r="C81" i="13"/>
  <c r="D84" i="13"/>
  <c r="E84" i="13" s="1"/>
  <c r="F84" i="13" s="1"/>
  <c r="G84" i="13" s="1"/>
  <c r="C84" i="13"/>
  <c r="D80" i="13"/>
  <c r="E80" i="13" s="1"/>
  <c r="F80" i="13" s="1"/>
  <c r="G80" i="13" s="1"/>
  <c r="C80" i="13"/>
  <c r="D76" i="13"/>
  <c r="E76" i="13" s="1"/>
  <c r="F76" i="13" s="1"/>
  <c r="G76" i="13" s="1"/>
  <c r="C76" i="13"/>
  <c r="D72" i="13"/>
  <c r="E72" i="13" s="1"/>
  <c r="F72" i="13" s="1"/>
  <c r="G72" i="13" s="1"/>
  <c r="C72" i="13"/>
  <c r="D68" i="13"/>
  <c r="E68" i="13" s="1"/>
  <c r="F68" i="13" s="1"/>
  <c r="G68" i="13" s="1"/>
  <c r="C68" i="13"/>
  <c r="D65" i="10"/>
  <c r="O101" i="10"/>
  <c r="B22" i="20"/>
  <c r="O113" i="10"/>
  <c r="G10" i="32"/>
  <c r="I10" i="32" s="1"/>
  <c r="O62" i="10"/>
  <c r="O56" i="10"/>
  <c r="G11" i="20"/>
  <c r="H11" i="20" s="1"/>
  <c r="G30" i="20"/>
  <c r="H30" i="20" s="1"/>
  <c r="J95" i="10"/>
  <c r="E24" i="20"/>
  <c r="B10" i="24"/>
  <c r="B18" i="24" s="1"/>
  <c r="F127" i="1"/>
  <c r="G127" i="1" s="1"/>
  <c r="H127" i="1" s="1"/>
  <c r="F62" i="10"/>
  <c r="F158" i="1"/>
  <c r="G158" i="1" s="1"/>
  <c r="H158" i="1" s="1"/>
  <c r="C13" i="33"/>
  <c r="C14" i="33" s="1"/>
  <c r="F130" i="1"/>
  <c r="G130" i="1" s="1"/>
  <c r="H130" i="1" s="1"/>
  <c r="G25" i="20"/>
  <c r="H25" i="20" s="1"/>
  <c r="J86" i="10"/>
  <c r="E33" i="34"/>
  <c r="D9" i="20"/>
  <c r="H50" i="10"/>
  <c r="F50" i="10"/>
  <c r="C9" i="20"/>
  <c r="F32" i="10"/>
  <c r="C11" i="34"/>
  <c r="D44" i="10"/>
  <c r="B15" i="34"/>
  <c r="F16" i="20"/>
  <c r="F25" i="34"/>
  <c r="F98" i="10"/>
  <c r="C35" i="34"/>
  <c r="H131" i="10"/>
  <c r="D45" i="34"/>
  <c r="D11" i="32"/>
  <c r="D24" i="34"/>
  <c r="D41" i="10"/>
  <c r="B14" i="34"/>
  <c r="L35" i="10"/>
  <c r="F12" i="34"/>
  <c r="J92" i="10"/>
  <c r="E34" i="34"/>
  <c r="F113" i="10"/>
  <c r="C43" i="34"/>
  <c r="G21" i="20"/>
  <c r="H21" i="20" s="1"/>
  <c r="G33" i="34"/>
  <c r="J33" i="34" s="1"/>
  <c r="O41" i="10"/>
  <c r="G14" i="34"/>
  <c r="J14" i="34" s="1"/>
  <c r="O35" i="10"/>
  <c r="G12" i="34"/>
  <c r="J12" i="34" s="1"/>
  <c r="L38" i="10"/>
  <c r="F13" i="34"/>
  <c r="L44" i="10"/>
  <c r="F15" i="34"/>
  <c r="D113" i="10"/>
  <c r="B43" i="34"/>
  <c r="J125" i="10"/>
  <c r="E44" i="34"/>
  <c r="F38" i="20"/>
  <c r="F45" i="34"/>
  <c r="F47" i="10"/>
  <c r="C16" i="34"/>
  <c r="G18" i="20"/>
  <c r="H18" i="20" s="1"/>
  <c r="G26" i="34"/>
  <c r="J26" i="34" s="1"/>
  <c r="H41" i="10"/>
  <c r="D14" i="34"/>
  <c r="H16" i="34"/>
  <c r="I16" i="34"/>
  <c r="D12" i="33"/>
  <c r="D92" i="10"/>
  <c r="E39" i="20"/>
  <c r="O32" i="10"/>
  <c r="G11" i="34"/>
  <c r="J11" i="34" s="1"/>
  <c r="D38" i="10"/>
  <c r="B13" i="34"/>
  <c r="B18" i="20"/>
  <c r="B26" i="34"/>
  <c r="H83" i="10"/>
  <c r="D27" i="34"/>
  <c r="H104" i="10"/>
  <c r="D36" i="34"/>
  <c r="J107" i="10"/>
  <c r="E42" i="34"/>
  <c r="H44" i="34"/>
  <c r="I44" i="34"/>
  <c r="B38" i="20"/>
  <c r="B45" i="34"/>
  <c r="J134" i="10"/>
  <c r="E46" i="34"/>
  <c r="E11" i="32"/>
  <c r="E24" i="34"/>
  <c r="I42" i="34"/>
  <c r="H42" i="34"/>
  <c r="O98" i="10"/>
  <c r="E11" i="24"/>
  <c r="J65" i="10"/>
  <c r="B27" i="20"/>
  <c r="D62" i="10"/>
  <c r="C39" i="20"/>
  <c r="D37" i="20"/>
  <c r="H32" i="10"/>
  <c r="D11" i="34"/>
  <c r="L32" i="10"/>
  <c r="F11" i="34"/>
  <c r="D35" i="10"/>
  <c r="B12" i="34"/>
  <c r="F38" i="10"/>
  <c r="C13" i="34"/>
  <c r="J38" i="10"/>
  <c r="E13" i="34"/>
  <c r="J44" i="10"/>
  <c r="E15" i="34"/>
  <c r="F71" i="10"/>
  <c r="C25" i="34"/>
  <c r="D83" i="10"/>
  <c r="B27" i="34"/>
  <c r="F86" i="10"/>
  <c r="C33" i="34"/>
  <c r="F104" i="10"/>
  <c r="C36" i="34"/>
  <c r="O134" i="10"/>
  <c r="G46" i="34"/>
  <c r="J46" i="34" s="1"/>
  <c r="B12" i="20"/>
  <c r="B23" i="34"/>
  <c r="I36" i="34"/>
  <c r="H36" i="34"/>
  <c r="G20" i="20"/>
  <c r="H20" i="20" s="1"/>
  <c r="G27" i="34"/>
  <c r="J27" i="34" s="1"/>
  <c r="H25" i="34"/>
  <c r="I25" i="34"/>
  <c r="J41" i="10"/>
  <c r="E14" i="34"/>
  <c r="F41" i="10"/>
  <c r="C14" i="34"/>
  <c r="I24" i="34"/>
  <c r="H24" i="34"/>
  <c r="J32" i="10"/>
  <c r="E11" i="34"/>
  <c r="H38" i="10"/>
  <c r="D13" i="34"/>
  <c r="H44" i="10"/>
  <c r="D15" i="34"/>
  <c r="C12" i="20"/>
  <c r="C23" i="34"/>
  <c r="F18" i="20"/>
  <c r="F26" i="34"/>
  <c r="D134" i="10"/>
  <c r="B46" i="34"/>
  <c r="L41" i="10"/>
  <c r="F14" i="34"/>
  <c r="F80" i="10"/>
  <c r="H35" i="10"/>
  <c r="D12" i="34"/>
  <c r="F44" i="10"/>
  <c r="C15" i="34"/>
  <c r="E12" i="20"/>
  <c r="E23" i="34"/>
  <c r="B16" i="20"/>
  <c r="B25" i="34"/>
  <c r="L83" i="10"/>
  <c r="F27" i="34"/>
  <c r="L86" i="10"/>
  <c r="F33" i="34"/>
  <c r="F92" i="10"/>
  <c r="C34" i="34"/>
  <c r="F134" i="10"/>
  <c r="C46" i="34"/>
  <c r="C10" i="33"/>
  <c r="C11" i="33" s="1"/>
  <c r="D8" i="20"/>
  <c r="D16" i="34"/>
  <c r="I35" i="34"/>
  <c r="H35" i="34"/>
  <c r="G12" i="20"/>
  <c r="H12" i="20" s="1"/>
  <c r="G23" i="34"/>
  <c r="J23" i="34" s="1"/>
  <c r="G9" i="32"/>
  <c r="I9" i="32" s="1"/>
  <c r="O74" i="10"/>
  <c r="L59" i="10"/>
  <c r="E11" i="20"/>
  <c r="F20" i="20"/>
  <c r="E14" i="20"/>
  <c r="D104" i="10"/>
  <c r="H125" i="10"/>
  <c r="G10" i="24"/>
  <c r="J10" i="24" s="1"/>
  <c r="H10" i="24" s="1"/>
  <c r="C30" i="20"/>
  <c r="F22" i="20"/>
  <c r="D32" i="10"/>
  <c r="B11" i="34"/>
  <c r="F35" i="10"/>
  <c r="C12" i="34"/>
  <c r="J35" i="10"/>
  <c r="E12" i="34"/>
  <c r="O38" i="10"/>
  <c r="G13" i="34"/>
  <c r="J13" i="34" s="1"/>
  <c r="O44" i="10"/>
  <c r="G15" i="34"/>
  <c r="J15" i="34" s="1"/>
  <c r="D12" i="20"/>
  <c r="D23" i="34"/>
  <c r="F83" i="10"/>
  <c r="C27" i="34"/>
  <c r="J83" i="10"/>
  <c r="E27" i="34"/>
  <c r="O89" i="10"/>
  <c r="L98" i="10"/>
  <c r="F35" i="34"/>
  <c r="L107" i="10"/>
  <c r="F42" i="34"/>
  <c r="L113" i="10"/>
  <c r="F43" i="34"/>
  <c r="G38" i="20"/>
  <c r="H38" i="20" s="1"/>
  <c r="G45" i="34"/>
  <c r="J45" i="34" s="1"/>
  <c r="H134" i="10"/>
  <c r="D46" i="34"/>
  <c r="L134" i="10"/>
  <c r="F46" i="34"/>
  <c r="B8" i="20"/>
  <c r="B16" i="34"/>
  <c r="F65" i="10"/>
  <c r="C24" i="34"/>
  <c r="B10" i="20"/>
  <c r="B93" i="20" s="1"/>
  <c r="B22" i="34"/>
  <c r="G10" i="20"/>
  <c r="H10" i="20" s="1"/>
  <c r="G22" i="34"/>
  <c r="J22" i="34" s="1"/>
  <c r="H22" i="34" s="1"/>
  <c r="H43" i="34"/>
  <c r="I43" i="34"/>
  <c r="I34" i="34"/>
  <c r="H34" i="34"/>
  <c r="B19" i="20"/>
  <c r="D80" i="10"/>
  <c r="F11" i="32"/>
  <c r="L65" i="10"/>
  <c r="F12" i="24"/>
  <c r="F14" i="20"/>
  <c r="E29" i="20"/>
  <c r="J110" i="10"/>
  <c r="D86" i="10"/>
  <c r="B21" i="20"/>
  <c r="D85" i="13"/>
  <c r="D77" i="13"/>
  <c r="D67" i="13"/>
  <c r="F74" i="10"/>
  <c r="D39" i="20"/>
  <c r="F133" i="1"/>
  <c r="G133" i="1" s="1"/>
  <c r="H133" i="1" s="1"/>
  <c r="E26" i="20"/>
  <c r="B10" i="33"/>
  <c r="B11" i="33" s="1"/>
  <c r="L62" i="10"/>
  <c r="D31" i="20"/>
  <c r="D95" i="10"/>
  <c r="D131" i="10"/>
  <c r="O137" i="10"/>
  <c r="F126" i="1"/>
  <c r="G126" i="1" s="1"/>
  <c r="H126" i="1" s="1"/>
  <c r="D26" i="20"/>
  <c r="E28" i="20"/>
  <c r="F26" i="20"/>
  <c r="D53" i="10"/>
  <c r="D59" i="10"/>
  <c r="O95" i="10"/>
  <c r="C9" i="32"/>
  <c r="C17" i="32" s="1"/>
  <c r="C11" i="32"/>
  <c r="L131" i="10"/>
  <c r="E21" i="20"/>
  <c r="D13" i="33"/>
  <c r="D14" i="33" s="1"/>
  <c r="D71" i="10"/>
  <c r="L71" i="10"/>
  <c r="D119" i="10"/>
  <c r="D149" i="10"/>
  <c r="F167" i="1"/>
  <c r="G167" i="1" s="1"/>
  <c r="H167" i="1" s="1"/>
  <c r="E20" i="20"/>
  <c r="F28" i="20"/>
  <c r="D10" i="24"/>
  <c r="D18" i="24" s="1"/>
  <c r="E34" i="11"/>
  <c r="F34" i="11" s="1"/>
  <c r="B11" i="20"/>
  <c r="B12" i="33"/>
  <c r="B10" i="32"/>
  <c r="D56" i="10"/>
  <c r="B11" i="24"/>
  <c r="B28" i="20"/>
  <c r="D107" i="10"/>
  <c r="B25" i="20"/>
  <c r="D98" i="10"/>
  <c r="L104" i="10"/>
  <c r="F27" i="20"/>
  <c r="D110" i="10"/>
  <c r="B29" i="20"/>
  <c r="G9" i="20"/>
  <c r="H9" i="20" s="1"/>
  <c r="O50" i="10"/>
  <c r="B17" i="20"/>
  <c r="D74" i="10"/>
  <c r="F15" i="20"/>
  <c r="L68" i="10"/>
  <c r="F13" i="33"/>
  <c r="F14" i="33" s="1"/>
  <c r="C38" i="20"/>
  <c r="F131" i="10"/>
  <c r="F10" i="32"/>
  <c r="F12" i="33"/>
  <c r="F11" i="20"/>
  <c r="F11" i="24"/>
  <c r="L56" i="10"/>
  <c r="L50" i="10"/>
  <c r="F9" i="20"/>
  <c r="B13" i="33"/>
  <c r="B14" i="33" s="1"/>
  <c r="D68" i="10"/>
  <c r="D16" i="20"/>
  <c r="H71" i="10"/>
  <c r="H107" i="10"/>
  <c r="D28" i="20"/>
  <c r="D13" i="20"/>
  <c r="H62" i="10"/>
  <c r="E16" i="20"/>
  <c r="J71" i="10"/>
  <c r="H77" i="10"/>
  <c r="D18" i="20"/>
  <c r="F101" i="10"/>
  <c r="C26" i="20"/>
  <c r="F107" i="10"/>
  <c r="C28" i="20"/>
  <c r="F56" i="10"/>
  <c r="C11" i="20"/>
  <c r="C10" i="32"/>
  <c r="C11" i="24"/>
  <c r="J47" i="10"/>
  <c r="E8" i="20"/>
  <c r="E10" i="24"/>
  <c r="E18" i="24" s="1"/>
  <c r="D101" i="10"/>
  <c r="B26" i="20"/>
  <c r="C10" i="20"/>
  <c r="F53" i="10"/>
  <c r="L47" i="10"/>
  <c r="F8" i="20"/>
  <c r="F10" i="33"/>
  <c r="F11" i="33" s="1"/>
  <c r="F9" i="32"/>
  <c r="F17" i="32" s="1"/>
  <c r="F10" i="24"/>
  <c r="F18" i="24" s="1"/>
  <c r="G40" i="20"/>
  <c r="H40" i="20" s="1"/>
  <c r="O149" i="10"/>
  <c r="E9" i="20"/>
  <c r="J50" i="10"/>
  <c r="J116" i="10"/>
  <c r="E31" i="20"/>
  <c r="L125" i="10"/>
  <c r="F37" i="20"/>
  <c r="D27" i="20"/>
  <c r="F32" i="20"/>
  <c r="D20" i="20"/>
  <c r="E12" i="33"/>
  <c r="J56" i="10"/>
  <c r="E9" i="32"/>
  <c r="E17" i="32" s="1"/>
  <c r="E10" i="33"/>
  <c r="E11" i="33" s="1"/>
  <c r="G29" i="20"/>
  <c r="H29" i="20" s="1"/>
  <c r="O110" i="10"/>
  <c r="G23" i="20"/>
  <c r="H23" i="20" s="1"/>
  <c r="O92" i="10"/>
  <c r="B20" i="20"/>
  <c r="E37" i="20"/>
  <c r="F68" i="10"/>
  <c r="C16" i="20"/>
  <c r="J59" i="10"/>
  <c r="D38" i="20"/>
  <c r="H149" i="10"/>
  <c r="C12" i="33"/>
  <c r="D77" i="10"/>
  <c r="D50" i="10"/>
  <c r="E13" i="20"/>
  <c r="C23" i="20"/>
  <c r="D24" i="20"/>
  <c r="E23" i="20"/>
  <c r="F24" i="20"/>
  <c r="F29" i="20"/>
  <c r="B12" i="24"/>
  <c r="D9" i="32"/>
  <c r="D17" i="32" s="1"/>
  <c r="B28" i="16"/>
  <c r="E28" i="16" s="1"/>
  <c r="F9" i="16"/>
  <c r="J74" i="10"/>
  <c r="E17" i="20"/>
  <c r="E25" i="20"/>
  <c r="J98" i="10"/>
  <c r="J104" i="10"/>
  <c r="E27" i="20"/>
  <c r="F119" i="10"/>
  <c r="C32" i="20"/>
  <c r="F10" i="20"/>
  <c r="L53" i="10"/>
  <c r="F77" i="10"/>
  <c r="C18" i="20"/>
  <c r="F95" i="10"/>
  <c r="C24" i="20"/>
  <c r="H98" i="10"/>
  <c r="D25" i="20"/>
  <c r="H110" i="10"/>
  <c r="D29" i="20"/>
  <c r="F10" i="16"/>
  <c r="B29" i="16"/>
  <c r="E29" i="16" s="1"/>
  <c r="J53" i="10"/>
  <c r="E10" i="20"/>
  <c r="E18" i="20"/>
  <c r="J77" i="10"/>
  <c r="H86" i="10"/>
  <c r="D21" i="20"/>
  <c r="E30" i="20"/>
  <c r="J113" i="10"/>
  <c r="F8" i="16"/>
  <c r="B27" i="16"/>
  <c r="E27" i="16" s="1"/>
  <c r="B30" i="16"/>
  <c r="E30" i="16" s="1"/>
  <c r="F11" i="16"/>
  <c r="H53" i="10"/>
  <c r="D10" i="20"/>
  <c r="H113" i="10"/>
  <c r="D30" i="20"/>
  <c r="D32" i="20"/>
  <c r="H119" i="10"/>
  <c r="G37" i="20"/>
  <c r="H37" i="20" s="1"/>
  <c r="O125" i="10"/>
  <c r="D10" i="33"/>
  <c r="D11" i="33" s="1"/>
  <c r="D10" i="32"/>
  <c r="L80" i="10"/>
  <c r="H47" i="10"/>
  <c r="D11" i="20"/>
  <c r="F59" i="10"/>
  <c r="B31" i="20"/>
  <c r="L77" i="10"/>
  <c r="L74" i="10"/>
  <c r="G12" i="24"/>
  <c r="J12" i="24" s="1"/>
  <c r="C124" i="1"/>
  <c r="F166" i="1"/>
  <c r="G166" i="1" s="1"/>
  <c r="H166" i="1" s="1"/>
  <c r="C29" i="20"/>
  <c r="B11" i="32"/>
  <c r="B14" i="20"/>
  <c r="B15" i="20"/>
  <c r="H89" i="10"/>
  <c r="E40" i="20"/>
  <c r="D12" i="24"/>
  <c r="C12" i="24"/>
  <c r="C25" i="20"/>
  <c r="F25" i="20"/>
  <c r="G32" i="20"/>
  <c r="H32" i="20" s="1"/>
  <c r="O119" i="10"/>
  <c r="G28" i="20"/>
  <c r="H28" i="20" s="1"/>
  <c r="O107" i="10"/>
  <c r="E15" i="20"/>
  <c r="B39" i="20"/>
  <c r="E12" i="24"/>
  <c r="J68" i="10"/>
  <c r="D14" i="20"/>
  <c r="I11" i="24"/>
  <c r="C21" i="20"/>
  <c r="F30" i="20"/>
  <c r="G16" i="20"/>
  <c r="H16" i="20" s="1"/>
  <c r="O71" i="10"/>
  <c r="G27" i="20"/>
  <c r="H27" i="20" s="1"/>
  <c r="O104" i="10"/>
  <c r="J13" i="33"/>
  <c r="G15" i="20"/>
  <c r="H15" i="20" s="1"/>
  <c r="G34" i="11"/>
  <c r="H34" i="11" s="1"/>
  <c r="I10" i="24" l="1"/>
  <c r="E134" i="1"/>
  <c r="F162" i="1"/>
  <c r="G162" i="1" s="1"/>
  <c r="H162" i="1" s="1"/>
  <c r="F136" i="1"/>
  <c r="G136" i="1" s="1"/>
  <c r="H136" i="1" s="1"/>
  <c r="I12" i="33"/>
  <c r="J10" i="33"/>
  <c r="H10" i="33" s="1"/>
  <c r="F137" i="1"/>
  <c r="G137" i="1" s="1"/>
  <c r="H137" i="1" s="1"/>
  <c r="C94" i="20"/>
  <c r="C93" i="20"/>
  <c r="F94" i="20"/>
  <c r="F93" i="20"/>
  <c r="E94" i="20"/>
  <c r="E93" i="20"/>
  <c r="B94" i="20"/>
  <c r="D94" i="20"/>
  <c r="D93" i="20"/>
  <c r="I13" i="33"/>
  <c r="H13" i="33"/>
  <c r="E67" i="13"/>
  <c r="F67" i="13" s="1"/>
  <c r="G67" i="13" s="1"/>
  <c r="E77" i="13"/>
  <c r="F77" i="13" s="1"/>
  <c r="G77" i="13" s="1"/>
  <c r="E85" i="13"/>
  <c r="F85" i="13" s="1"/>
  <c r="G85" i="13" s="1"/>
  <c r="I13" i="34"/>
  <c r="H13" i="34"/>
  <c r="H12" i="34"/>
  <c r="I12" i="34"/>
  <c r="H33" i="34"/>
  <c r="I33" i="34"/>
  <c r="H27" i="34"/>
  <c r="I27" i="34"/>
  <c r="I11" i="34"/>
  <c r="H11" i="34"/>
  <c r="H15" i="34"/>
  <c r="I15" i="34"/>
  <c r="I26" i="34"/>
  <c r="H26" i="34"/>
  <c r="I14" i="34"/>
  <c r="H14" i="34"/>
  <c r="I22" i="34"/>
  <c r="I45" i="34"/>
  <c r="H45" i="34"/>
  <c r="I23" i="34"/>
  <c r="H23" i="34"/>
  <c r="H46" i="34"/>
  <c r="I46" i="34"/>
  <c r="H12" i="24"/>
  <c r="I12" i="24"/>
  <c r="D30" i="16"/>
  <c r="C30" i="16"/>
  <c r="D27" i="16"/>
  <c r="C27" i="16"/>
  <c r="D29" i="16"/>
  <c r="C29" i="16"/>
  <c r="D28" i="16"/>
  <c r="C28" i="16"/>
  <c r="I10" i="33" l="1"/>
  <c r="A43" i="11"/>
  <c r="A48" i="11" s="1"/>
</calcChain>
</file>

<file path=xl/sharedStrings.xml><?xml version="1.0" encoding="utf-8"?>
<sst xmlns="http://schemas.openxmlformats.org/spreadsheetml/2006/main" count="1076" uniqueCount="443">
  <si>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</si>
  <si>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</si>
  <si>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</si>
  <si>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</si>
  <si>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</si>
  <si>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</si>
  <si>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</si>
  <si>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</si>
  <si>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</si>
  <si>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</si>
  <si>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</si>
  <si>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</si>
  <si>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</si>
  <si>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</si>
  <si>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</si>
  <si>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</si>
  <si>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</si>
  <si>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</si>
  <si>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</si>
  <si>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</si>
  <si>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</si>
  <si>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</si>
  <si>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</si>
  <si>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</si>
  <si>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</si>
  <si>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</si>
  <si>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</si>
  <si>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</si>
  <si>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</si>
  <si>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</si>
  <si>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</si>
  <si>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</si>
  <si>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</si>
  <si>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</si>
  <si>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</si>
  <si>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</si>
  <si>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</si>
  <si>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</si>
  <si>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</si>
  <si>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</si>
  <si>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</si>
  <si>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</si>
  <si>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</si>
  <si>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</si>
  <si>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</si>
  <si>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</si>
  <si>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</si>
  <si>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</si>
  <si>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</si>
  <si>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</si>
  <si>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</si>
  <si>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</si>
  <si>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</si>
  <si>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</si>
  <si>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</si>
  <si>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</si>
  <si>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</si>
  <si>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</si>
  <si>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</si>
  <si>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</si>
  <si>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</si>
  <si>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</si>
  <si>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</si>
  <si>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</si>
  <si>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</si>
  <si>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</si>
  <si>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</si>
  <si>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</si>
  <si>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</si>
  <si>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</si>
  <si>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</si>
  <si>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</si>
  <si>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</si>
  <si>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</si>
  <si>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</si>
  <si>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</si>
  <si>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</si>
  <si>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</si>
  <si>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</si>
  <si>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</si>
  <si>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</si>
  <si>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</si>
  <si>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</si>
  <si>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</si>
  <si>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</si>
  <si>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</si>
  <si>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</si>
  <si>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</si>
  <si>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</si>
  <si>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</si>
  <si>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</si>
  <si>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</si>
  <si>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</si>
  <si>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</si>
  <si>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</si>
  <si>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</si>
  <si>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</si>
  <si>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</si>
  <si>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</si>
  <si>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</si>
  <si>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</si>
  <si>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</si>
  <si>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</si>
  <si>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</si>
  <si>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</si>
  <si>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</si>
  <si>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</si>
  <si>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</si>
  <si>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</si>
  <si>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</si>
  <si>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</si>
  <si>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</si>
  <si>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</si>
  <si>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</si>
  <si>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</si>
  <si>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</si>
  <si>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</si>
  <si>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</si>
  <si>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</si>
  <si>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Antal kostelever</t>
  </si>
  <si>
    <t>0-99</t>
  </si>
  <si>
    <t>0-24</t>
  </si>
  <si>
    <t>00-99</t>
  </si>
  <si>
    <t>25-59</t>
  </si>
  <si>
    <t>60 -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</si>
  <si>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</si>
  <si>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</si>
  <si>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</si>
  <si>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</si>
  <si>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</si>
  <si>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</si>
  <si>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</si>
  <si>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</si>
  <si>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</si>
  <si>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</si>
  <si>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</si>
  <si>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</si>
  <si>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</si>
  <si>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</si>
  <si>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</si>
  <si>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</si>
  <si>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</si>
  <si>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</si>
  <si>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</si>
  <si>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</si>
  <si>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</si>
  <si>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</si>
  <si>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</si>
  <si>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</si>
  <si>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</si>
  <si>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</si>
  <si>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</si>
  <si>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</si>
  <si>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</si>
  <si>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</si>
  <si>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</si>
  <si>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</si>
  <si>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</si>
  <si>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</si>
  <si>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</si>
  <si>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</si>
  <si>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</si>
  <si>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</si>
  <si>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</si>
  <si>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</si>
  <si>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</si>
  <si>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</si>
  <si>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</si>
  <si>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</si>
  <si>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</si>
  <si>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</si>
  <si>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</si>
  <si>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</si>
  <si>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</si>
  <si>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</si>
  <si>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</si>
  <si>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</si>
  <si>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</si>
  <si>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</si>
  <si>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</si>
  <si>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</si>
  <si>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</si>
  <si>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</si>
  <si>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</si>
  <si>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</si>
  <si>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</si>
  <si>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</si>
  <si>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</si>
  <si>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</si>
  <si>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</si>
  <si>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</si>
  <si>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</si>
  <si>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Godtgørelse for tjeneste i tidsrummet kl. 17-06</t>
  </si>
  <si>
    <t>gældende for perioden 1. april 2015- 31. marts 2016</t>
  </si>
  <si>
    <t>Ledelses- og koordineringsopgaver pr. praktiktime og pr. uv-time for hver deltagende lærerstuderende</t>
  </si>
  <si>
    <t>Time</t>
  </si>
  <si>
    <t>Funktionstillæg</t>
  </si>
  <si>
    <t xml:space="preserve">Gruppelivspræmie (Aftale FG nr. 85034)    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</si>
  <si>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</si>
  <si>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</si>
  <si>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</si>
  <si>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</si>
  <si>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</si>
  <si>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</si>
  <si>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</si>
  <si>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</si>
  <si>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</si>
  <si>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</si>
  <si>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</si>
  <si>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</si>
  <si>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</si>
  <si>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</si>
  <si>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</si>
  <si>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</si>
  <si>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</si>
  <si>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20, 23, 25, 27, 29, 31, 33, 36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</si>
  <si>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</si>
  <si>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</si>
  <si>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</si>
  <si>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</si>
  <si>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</si>
  <si>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</si>
  <si>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</si>
  <si>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</si>
  <si>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</si>
  <si>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</si>
  <si>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</si>
  <si>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</si>
  <si>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</si>
  <si>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</si>
  <si>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</si>
  <si>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</si>
  <si>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</si>
  <si>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</si>
  <si>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</si>
  <si>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</si>
  <si>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</si>
  <si>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</si>
  <si>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</si>
  <si>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</si>
  <si>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</si>
  <si>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</si>
  <si>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</si>
  <si>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</si>
  <si>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</si>
  <si>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</si>
  <si>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</si>
  <si>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</si>
  <si>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</si>
  <si>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</si>
  <si>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</si>
  <si>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</si>
  <si>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</si>
  <si>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</si>
  <si>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</si>
  <si>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</si>
  <si>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</si>
  <si>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</si>
  <si>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</si>
  <si>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</si>
  <si>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</si>
  <si>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</si>
  <si>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</si>
  <si>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</si>
  <si>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</si>
  <si>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</si>
  <si>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</si>
  <si>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</si>
  <si>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Evt. funktionstillæg - beløbet aftales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</si>
  <si>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</si>
  <si>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</si>
  <si>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t>Pensionsgivende</t>
  </si>
  <si>
    <t>Områdetillæg pr. måned</t>
  </si>
  <si>
    <t xml:space="preserve">OK-2008 tillæg </t>
  </si>
  <si>
    <t xml:space="preserve">Souscheftillæg </t>
  </si>
  <si>
    <t>Ikke pensionsgivende</t>
  </si>
  <si>
    <t xml:space="preserve">Tillæg til specialundervisning </t>
  </si>
  <si>
    <t>Arbejdstidsbestemte tillæg</t>
  </si>
  <si>
    <t>Løninterval</t>
  </si>
  <si>
    <t>Afhængigt  af beskæftigelsesgraden. Pensionsgivende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</si>
  <si>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</si>
  <si>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</si>
  <si>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</si>
  <si>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</si>
  <si>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</si>
  <si>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</si>
  <si>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</si>
  <si>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</si>
  <si>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</si>
  <si>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</si>
  <si>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</si>
  <si>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</si>
  <si>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</si>
  <si>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</si>
  <si>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</si>
  <si>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</si>
  <si>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</si>
  <si>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</si>
  <si>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</si>
  <si>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</si>
  <si>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Beløb</t>
  </si>
  <si>
    <t>Beløb pr. år</t>
  </si>
  <si>
    <t>Grundbeløb pr. time</t>
  </si>
  <si>
    <t>Beløb pr. time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</si>
  <si>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</si>
  <si>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</si>
  <si>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</si>
  <si>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</si>
  <si>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</si>
  <si>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</si>
  <si>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4. år</t>
  </si>
  <si>
    <t>3. år</t>
  </si>
  <si>
    <t>2. år</t>
  </si>
  <si>
    <t>1. år</t>
  </si>
  <si>
    <t>Ikke afhængig af beskæftigelsesgraden. Pensionsgivende</t>
  </si>
  <si>
    <t xml:space="preserve">Undervisningstillæg </t>
  </si>
  <si>
    <t>Time- og dagpenge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</si>
  <si>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</si>
  <si>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Pr. døgn á 24 timer</t>
  </si>
  <si>
    <t>Lærere, ledere og børnehaveklasseledere ved grundskoler</t>
  </si>
  <si>
    <t xml:space="preserve">Pensionsbidrag </t>
  </si>
  <si>
    <t>Godtgørelse for 2-delt tjeneste</t>
  </si>
  <si>
    <t>Godtgørelse for 3-delt tjeneste</t>
  </si>
  <si>
    <t>Godtgørelse for omlagt tjeneste</t>
  </si>
  <si>
    <t>Pensiongivende løn</t>
  </si>
  <si>
    <t>for ansatte på de frie skoler</t>
  </si>
  <si>
    <t>Heraf anses 1/3 for medarbejderens egetbidrag</t>
  </si>
  <si>
    <t>OK18-tillæg</t>
  </si>
  <si>
    <t xml:space="preserve">OK-2013 tillæg </t>
  </si>
  <si>
    <t xml:space="preserve">OK-2018 tillæg </t>
  </si>
  <si>
    <t>Afhængigt af beskæftigelsesgraden samt pensionsgivende for ansatte med Lærernes Pension</t>
  </si>
  <si>
    <t>Pensionsgivende for ansatte med Lærernes Pension</t>
  </si>
  <si>
    <t>350-699</t>
  </si>
  <si>
    <t>700 -</t>
  </si>
  <si>
    <t>Lønintervaller for øverste leder</t>
  </si>
  <si>
    <t>0 - 349 elever</t>
  </si>
  <si>
    <t>Der kan aftales varige og/eller midlertidige funktions- eller kvalifikationstillæg.</t>
  </si>
  <si>
    <t>Lønintervaller for øverste leder ved skoler med kostafdeling</t>
  </si>
  <si>
    <t>Supplerende pension: Opmærksomheden henledes på ansatte med ret til tjenestemandspension. Ansatte med ret til tjenestemandspension, skal have supplerende pension i Lærernes Pension på 18% for pensionsgivende lønddele, der overstiger slutskalatrin incl. 2 ekstra trin. For lærere: Skalatrin 42, for bhkl.ledere: trin 33.  For pensionsgivende løndele under slutskalatrin incl. 2 skalatrin skal supplerende pension indbetales med 17,3%, såfremt supplerende pension er aftalt.</t>
  </si>
  <si>
    <t>Tillægget ydes til lærere- og børnehaveklasseledere, der i den almindelige undervisning har ansvaret for undervisning af en eller flere elever med et minimums specialundervisningsbehov på 9 klokketimer/12 undervisningslektioner og til hvem skolen modtager ekstra tilskud(SPS-tilskud), samt støtteundervisning i dansk for tosprogede elever.</t>
  </si>
  <si>
    <t>Kontorpersonale</t>
  </si>
  <si>
    <t>Kontormedarbejdere</t>
  </si>
  <si>
    <t>Oprykning til næste skalatrin sker efter hver 2. års lønanciennitet.</t>
  </si>
  <si>
    <t>Kontorassistenter</t>
  </si>
  <si>
    <t>Kontorfuldmægtige</t>
  </si>
  <si>
    <t>Forretningsfører</t>
  </si>
  <si>
    <t>Timelønnede med relevant kontorfaglig uddannelse</t>
  </si>
  <si>
    <t>Tillæg til tillidsrepræsentant</t>
  </si>
  <si>
    <t>Beløb pr. måned</t>
  </si>
  <si>
    <t>Aflønning af elever</t>
  </si>
  <si>
    <t>Grundbeløb pr. måned</t>
  </si>
  <si>
    <t>Elever over 18 år</t>
  </si>
  <si>
    <t>Elever under 18 år</t>
  </si>
  <si>
    <t>Månedsløn  - reguleret med gældende reguleringsprocent</t>
  </si>
  <si>
    <t>Voksenelever over 25 år</t>
  </si>
  <si>
    <t>Under hele elevtiden</t>
  </si>
  <si>
    <t>Timelønede uden relevant kontorfaglig uddannelse</t>
  </si>
  <si>
    <t>Basisløn for øvrige ledere</t>
  </si>
  <si>
    <t>Øverste leder og øvrige ledere</t>
  </si>
  <si>
    <t>Øvrige ledere</t>
  </si>
  <si>
    <t>16, 17, 18, 19, 21</t>
  </si>
  <si>
    <t>22, 23, 26, 27, 29</t>
  </si>
  <si>
    <t>For lærere og bh.kl.ledere med tjenestemandspension er de "pensionsgivende løndele" ikke nødvendigvis pensionsgivende, bortset fra soucheftillæg, OK 13-tillæg og OK 18-tillæg.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</si>
  <si>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</si>
  <si>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Timelønnet personale</t>
  </si>
  <si>
    <t>Anderledes pæd. uddannede(Lukket gruppe)</t>
  </si>
  <si>
    <t>Beløbsgrænse for engangsvederlag</t>
  </si>
  <si>
    <t>Udover intervallønnen til skolens øverste leder og basislønnen til skolens øvrige ledere, kan der aftales engangsvederlag i form af resultatløn eller honorering for en særlig indsats. Dette i henhold til bemyndigelsesskrivelse af 17. september 2019 fra Styrelsen for Undervisning og Kvalitet. Engangsvederlag er pensionsgivende.</t>
  </si>
  <si>
    <t>Grundskolers øverste leder og mellemleder</t>
  </si>
  <si>
    <t>Hel godtgørelse</t>
  </si>
  <si>
    <t>Satser for G-dage(dagpenge godtgørelse for 1. og 2. ledighedsdag)</t>
  </si>
  <si>
    <t>Halv godtgørelse(for ledighed på 4 timer eller derunder)</t>
  </si>
  <si>
    <t>Arbejdstidsbestemte tillæg efter natpengeaftalen</t>
  </si>
  <si>
    <t>Rektorer, ledere og lærere ved gymnasieskoler.</t>
  </si>
  <si>
    <t>Lilleskolernes Sammenslutning</t>
  </si>
  <si>
    <t>Månedsløn(afhængig af beskæftigelsesgrad)</t>
  </si>
  <si>
    <t>Afhængig af beskæftigelsesgrad. Ikke pensionsgivende.</t>
  </si>
  <si>
    <t>Pensionsbidrag for øverste leder og øvrige leder</t>
  </si>
  <si>
    <t>Tjenestemandslignende pensionsordning</t>
  </si>
  <si>
    <t>Skolen betaler pensionsbidrag til Lærernes Pension, bortset fra ansatte omfattet af nedennævnte tjenestemandslignende pensionsordning. Pensionsbidraget til Lærernes Pension udgør 17,3% af de pensionsgivende løndele, hvoraf 1/3 udgør egetbidraget.</t>
  </si>
  <si>
    <t>Dansk Friskoleforening, Danmarks Private Skoler, Lilleskolernes Sammenslutning samt Deutche Schul- und spracherein,</t>
  </si>
  <si>
    <t xml:space="preserve">DENNE LØNTABEL GÆLDER ALENE ANSATTE OMFATTET AF OK MELLEM 3F OG AFTALEENHEDEN SOM BESTÅR AF:                                                                                 </t>
  </si>
  <si>
    <t>DENNE LØNTABEL GÆLDER ALENE ANSATTE OMFATTET AF OK MELLEM HK OG AFTALEENHEDEN SOM BESTÅR AF:</t>
  </si>
  <si>
    <t>Dansk Friskoleforening, Danmarks Private Skoler samt Lilleskolernes Sammenslutning</t>
  </si>
  <si>
    <t>Pædagogmedhjælpere</t>
  </si>
  <si>
    <t>Pædagogiske assistenter</t>
  </si>
  <si>
    <t>Pædagogmedhjælpere og pædagogiske assistenter</t>
  </si>
  <si>
    <t>Stedtillægsområde 2, 3 og 4</t>
  </si>
  <si>
    <t>Stedtillægsområde 5 og 6</t>
  </si>
  <si>
    <t>Timelønnede under 18 år</t>
  </si>
  <si>
    <t>Godtgørelse for delt tjeneste ud over 11 timer</t>
  </si>
  <si>
    <t>Godtgørelse for tjeneste på lørdage efter kl. 14:00, samt lørdage før kl. 14:00 såfremt  halvdelen af arb.tiden ligger efter kl. 14:00. Herudover juleaftensdag efter kl. 14.00 samt grundlovsdag efter kl. 12.00</t>
  </si>
  <si>
    <t>Godtgørelse for tjeneste på lørdage efter kl. 14:00, samt lørdage før kl. 14:00 såfremt  halvdelen af arb.tiden ligger efter kl. 14:00 samt grundlovsdag efter kl. 12.00</t>
  </si>
  <si>
    <t>Gruppelivspræmie øvrige ansatte (Aftale FG nr. 98704-1)</t>
  </si>
  <si>
    <t>Tillæg for ansvar af uv. af SPS-elever samt til uv. af dansk til 2-sprogede.</t>
  </si>
  <si>
    <t>Overenskomsttillæg til afdelingsledere</t>
  </si>
  <si>
    <t>Afhængig af beskæftigelsesgraden. Den pensionsgivende løn er pensionsberettiget</t>
  </si>
  <si>
    <r>
      <t>Månedsløn(</t>
    </r>
    <r>
      <rPr>
        <sz val="16"/>
        <rFont val="Arial"/>
        <family val="2"/>
      </rPr>
      <t>er reguleret med gældende reguleringsprocent)</t>
    </r>
  </si>
  <si>
    <r>
      <t>Månedsløn til afd. Ledere</t>
    </r>
    <r>
      <rPr>
        <sz val="14"/>
        <rFont val="Arial"/>
        <family val="2"/>
      </rPr>
      <t>(er reguleret med gældende reguleringsprocent)</t>
    </r>
  </si>
  <si>
    <t>Tillæg til trin 14(14+t)</t>
  </si>
  <si>
    <t>Tillæg til trin 21(21+t)</t>
  </si>
  <si>
    <t>Årligt tillæg- udbetales med 1/12 pr. mdr. I ovennænvte skalatrinstabel fremgår tillæggene som hhv. 14+t og 21+t</t>
  </si>
  <si>
    <t>21+t</t>
  </si>
  <si>
    <t>29, 31, 33, 35, 38, 39</t>
  </si>
  <si>
    <t>Arbejdsmiljøreprænsentanter</t>
  </si>
  <si>
    <t>Kørsel i henhold til bemyndigelse*</t>
  </si>
  <si>
    <t xml:space="preserve">Pensionsgivende for ansatte med Lærernes Pension							</t>
  </si>
  <si>
    <t>Tillæg til eksaminator eller censor (pr. time).</t>
  </si>
  <si>
    <t xml:space="preserve">Tillæg til eksaminator eller censor </t>
  </si>
  <si>
    <t>Tillægget ydes i stedet for arbejdstiden ved mundtlige udtræksprøver ved folkeskolens 9. klasses afgangsprøve. (Kræver en aftale med den enkelte lærer)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</si>
  <si>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 Ydes ikke ved lejrskole og lignende elevarrangementer med overnatning.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</si>
  <si>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 Ydes ikke ved lejrskole og lignende elevarrangementer med overnatning.</t>
    </r>
  </si>
  <si>
    <t>*) indtil 20.000 km pr. år derefter kr. 2,23</t>
  </si>
  <si>
    <t>Som supplement til fanen over løn "BUPL-FOA" vises her oversigten over det pædagogiske personales lønforløb. Skalatrinsbeløbene, tillæg, pension mm., fremgår af fanen "BUPL-FOA".</t>
  </si>
  <si>
    <t>ATP til timelønnede: Arbejdsgiverandel pr. time kr. 1,42, arbejderstagerandel pr. time kr. 0,71.</t>
  </si>
  <si>
    <t>ATPbidrag fra 1. januar 2024(A-bidrag)</t>
  </si>
  <si>
    <t>Ansatte under BUPL/FOA, HK, 3F overenskomst samt andre generelle satser.</t>
  </si>
  <si>
    <t>Tillæg ved deltagelse i lejrskole og lignende elevarrangementer på hverdage med overnatning (pr. dag)</t>
  </si>
  <si>
    <t>Tillæg ved deltagelse i lejrskole og lignende elevarrangementer på lørdage, søndage og helligdage med overnatning (pr. dag)</t>
  </si>
  <si>
    <t>01/04/24</t>
  </si>
  <si>
    <t xml:space="preserve">Aftalt løn kr. 36.000,- pr. Måned </t>
  </si>
  <si>
    <t>Skalatrinslønnen nærmest herunder på skalatrin 40: kr. 35.514,42 pr. måned.</t>
  </si>
  <si>
    <t>Pensionstilsvaret bliver 15% af den pensionsgivende løn på skalatrin 40 = 15% af kr. 35.514,42 pr. måned = kr. 5.327,16</t>
  </si>
  <si>
    <t>Aftalt løn kr. 37.500,- pr. måned</t>
  </si>
  <si>
    <t>Skalatrinslønnen nærmest herunder på skalatrin 42: kr. 37.011,83 pr. måned.</t>
  </si>
  <si>
    <t>Pensionstilsvaret bliver 15% af den pensionsgivende løn på skalatrin 42 = 15% af kr. 37.011,83 pr. måned = kr. 5.551,77</t>
  </si>
  <si>
    <t>ÆNDRINGER I DENNE LØNTABEL ER:</t>
  </si>
  <si>
    <t>Gældende fra 1. januar 2024</t>
  </si>
  <si>
    <t>Månedligt tillæg for øvrige ansatte.  Omfatter ikke pædagogisk personale med pension i PBU/PenSam, Pension Danmark (3F) og Pension for Funktionærer (HK). Ansatte med pensionsordninger: PBU/PenSam, Pension Danmark og Pension for Funktionærer er via pensionsordningen omfattet af gruppeliv.</t>
  </si>
  <si>
    <t>Praktikansvarlige og oplæringsvejledere jf. §16 stk. 6</t>
  </si>
  <si>
    <t>Overenskomsttillæg</t>
  </si>
  <si>
    <t>Overenskomsttillæg til pædagoger</t>
  </si>
  <si>
    <t>Overenskomsttillæg til pædagogiske assistenter og pædagogmedhjælpere</t>
  </si>
  <si>
    <t xml:space="preserve">Overenskomsttillæg </t>
  </si>
  <si>
    <t>BUPL-FOA</t>
  </si>
  <si>
    <t>OBS: Trepartstillægget udmøntes med tilbagevirkende kraft fra og med 1. januar 2024 eller fra ansættelsesdatoen.</t>
  </si>
  <si>
    <t>Nyt trepartstillæg til afdelingsledere og pædagoger pr. 1. september 2024. Tillægget er afhængigt af beskæftigelsesgraden og pensionsgivende.</t>
  </si>
  <si>
    <t>Gældende fra 1. september 2024</t>
  </si>
  <si>
    <t>Reguleringsprocent er gældende til og med 31. marts 2025</t>
  </si>
  <si>
    <t>Næste løntabel udsendes med virkning 1. januar 2025</t>
  </si>
  <si>
    <r>
      <t xml:space="preserve">Trepartstillæg. </t>
    </r>
    <r>
      <rPr>
        <sz val="12"/>
        <color rgb="FFFF0000"/>
        <rFont val="Arial"/>
        <family val="2"/>
      </rPr>
      <t>Tillægget er NYT og udbetales første gang september 2024 med tilbagevirkende kraft fra og med 1. januar 2024 eller fra ansættelsesdatoen.</t>
    </r>
  </si>
  <si>
    <t xml:space="preserve">Arbejdsmiljørrepræsentanter der også er valgt som tillidsrepresentant		</t>
  </si>
  <si>
    <t>Udgivet d. 23.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</si>
</sst>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dd:mm:yyyy;@"/>
    <numFmt numFmtId="166" formatCode="0.0000"/>
    <numFmt numFmtId="167" formatCode="dd/mm/yy;@"/>
    <numFmt numFmtId="168" formatCode="_(* #,##0.00_);_(* \(#,##0.00\);_(* &quot;-&quot;??_);_(@_)"/>
    <numFmt numFmtId="169" formatCode="_(&quot;kr&quot;\ * #,##0.00_);_(&quot;kr&quot;\ * \(#,##0.00\);_(&quot;kr&quot;\ * &quot;-&quot;??_);_(@_)"/>
  </numFmts>
  <fonts count="7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i/>
      <sz val="10"/>
      <color theme="1"/>
      <name val="Arial"/>
      <family val="2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i/>
      <sz val="14"/>
      <color theme="1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indexed="8"/>
      <name val="Arial"/>
      <family val="2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47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44" fillId="0" borderId="0" applyFont="0" applyFill="0" applyBorder="0" applyAlignment="0" applyProtection="0"/>
    <xf numFmtId="168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54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4" fontId="4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3" borderId="0" xfId="0" quotePrefix="1" applyFont="1" applyFill="1" applyAlignment="1">
      <alignment vertical="center" wrapText="1"/>
    </xf>
    <xf numFmtId="0" fontId="20" fillId="0" borderId="0" xfId="0" applyFont="1"/>
    <xf numFmtId="166" fontId="19" fillId="0" borderId="8" xfId="0" applyNumberFormat="1" applyFont="1" applyBorder="1"/>
    <xf numFmtId="0" fontId="24" fillId="0" borderId="0" xfId="0" applyFont="1"/>
    <xf numFmtId="0" fontId="21" fillId="0" borderId="0" xfId="0" applyFont="1"/>
    <xf numFmtId="0" fontId="22" fillId="0" borderId="0" xfId="0" applyFont="1"/>
    <xf numFmtId="0" fontId="22" fillId="2" borderId="4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1" fillId="3" borderId="0" xfId="0" applyFont="1" applyFill="1"/>
    <xf numFmtId="0" fontId="25" fillId="3" borderId="0" xfId="0" applyFont="1" applyFill="1"/>
    <xf numFmtId="166" fontId="19" fillId="3" borderId="8" xfId="0" applyNumberFormat="1" applyFont="1" applyFill="1" applyBorder="1"/>
    <xf numFmtId="0" fontId="2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left" vertical="center" wrapText="1"/>
    </xf>
    <xf numFmtId="0" fontId="31" fillId="0" borderId="0" xfId="0" applyFont="1"/>
    <xf numFmtId="0" fontId="15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23" xfId="0" applyFont="1" applyFill="1" applyBorder="1" applyAlignment="1">
      <alignment horizontal="right"/>
    </xf>
    <xf numFmtId="2" fontId="13" fillId="0" borderId="0" xfId="0" applyNumberFormat="1" applyFont="1" applyAlignment="1">
      <alignment horizontal="center"/>
    </xf>
    <xf numFmtId="4" fontId="13" fillId="0" borderId="0" xfId="0" applyNumberFormat="1" applyFont="1"/>
    <xf numFmtId="164" fontId="13" fillId="0" borderId="0" xfId="80" applyFont="1" applyBorder="1" applyAlignment="1">
      <alignment horizontal="right" vertical="center" wrapText="1"/>
    </xf>
    <xf numFmtId="164" fontId="13" fillId="3" borderId="0" xfId="80" applyFont="1" applyFill="1" applyBorder="1" applyAlignment="1">
      <alignment vertical="center"/>
    </xf>
    <xf numFmtId="164" fontId="13" fillId="0" borderId="0" xfId="80" applyFont="1" applyBorder="1" applyAlignment="1">
      <alignment horizontal="right" vertical="center"/>
    </xf>
    <xf numFmtId="164" fontId="13" fillId="0" borderId="0" xfId="80" applyFont="1" applyBorder="1" applyAlignment="1">
      <alignment horizontal="right"/>
    </xf>
    <xf numFmtId="0" fontId="13" fillId="3" borderId="0" xfId="0" applyFont="1" applyFill="1" applyAlignment="1">
      <alignment horizontal="center" wrapText="1"/>
    </xf>
    <xf numFmtId="0" fontId="13" fillId="3" borderId="23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4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 applyAlignment="1">
      <alignment horizontal="center"/>
    </xf>
    <xf numFmtId="0" fontId="13" fillId="3" borderId="0" xfId="0" applyFont="1" applyFill="1"/>
    <xf numFmtId="0" fontId="4" fillId="3" borderId="0" xfId="0" applyFont="1" applyFill="1"/>
    <xf numFmtId="0" fontId="16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 vertical="center" wrapText="1"/>
    </xf>
    <xf numFmtId="14" fontId="29" fillId="5" borderId="0" xfId="0" applyNumberFormat="1" applyFont="1" applyFill="1" applyAlignment="1">
      <alignment horizontal="center" vertical="center"/>
    </xf>
    <xf numFmtId="14" fontId="13" fillId="3" borderId="0" xfId="0" applyNumberFormat="1" applyFont="1" applyFill="1" applyAlignment="1">
      <alignment horizontal="center" vertical="center" wrapText="1"/>
    </xf>
    <xf numFmtId="0" fontId="16" fillId="3" borderId="0" xfId="0" applyFont="1" applyFill="1"/>
    <xf numFmtId="0" fontId="12" fillId="3" borderId="0" xfId="0" applyFont="1" applyFill="1" applyAlignment="1">
      <alignment vertical="center"/>
    </xf>
    <xf numFmtId="14" fontId="13" fillId="3" borderId="0" xfId="0" applyNumberFormat="1" applyFont="1" applyFill="1" applyAlignment="1">
      <alignment horizontal="center" wrapText="1"/>
    </xf>
    <xf numFmtId="0" fontId="15" fillId="4" borderId="56" xfId="0" applyFont="1" applyFill="1" applyBorder="1" applyAlignment="1">
      <alignment horizontal="left"/>
    </xf>
    <xf numFmtId="0" fontId="15" fillId="4" borderId="48" xfId="0" applyFont="1" applyFill="1" applyBorder="1" applyAlignment="1">
      <alignment horizontal="left"/>
    </xf>
    <xf numFmtId="14" fontId="32" fillId="3" borderId="0" xfId="0" applyNumberFormat="1" applyFont="1" applyFill="1" applyAlignment="1">
      <alignment horizontal="center"/>
    </xf>
    <xf numFmtId="4" fontId="15" fillId="0" borderId="0" xfId="0" applyNumberFormat="1" applyFont="1"/>
    <xf numFmtId="0" fontId="13" fillId="3" borderId="0" xfId="0" applyFont="1" applyFill="1" applyAlignment="1">
      <alignment horizontal="left" vertical="center" wrapText="1"/>
    </xf>
    <xf numFmtId="0" fontId="0" fillId="3" borderId="0" xfId="0" applyFill="1"/>
    <xf numFmtId="0" fontId="13" fillId="3" borderId="0" xfId="0" applyFont="1" applyFill="1" applyAlignment="1">
      <alignment horizontal="right" vertical="center"/>
    </xf>
    <xf numFmtId="2" fontId="13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horizontal="right"/>
    </xf>
    <xf numFmtId="4" fontId="13" fillId="3" borderId="0" xfId="0" applyNumberFormat="1" applyFont="1" applyFill="1" applyAlignment="1">
      <alignment horizontal="right"/>
    </xf>
    <xf numFmtId="4" fontId="13" fillId="3" borderId="0" xfId="0" applyNumberFormat="1" applyFont="1" applyFill="1" applyAlignment="1">
      <alignment horizontal="center" vertical="center" wrapText="1"/>
    </xf>
    <xf numFmtId="0" fontId="32" fillId="3" borderId="0" xfId="0" applyFont="1" applyFill="1"/>
    <xf numFmtId="14" fontId="32" fillId="3" borderId="0" xfId="0" applyNumberFormat="1" applyFont="1" applyFill="1"/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14" fontId="15" fillId="3" borderId="0" xfId="0" applyNumberFormat="1" applyFont="1" applyFill="1" applyAlignment="1">
      <alignment horizontal="left"/>
    </xf>
    <xf numFmtId="14" fontId="15" fillId="3" borderId="0" xfId="0" applyNumberFormat="1" applyFont="1" applyFill="1" applyAlignment="1">
      <alignment horizontal="left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14" fontId="19" fillId="3" borderId="7" xfId="0" applyNumberFormat="1" applyFont="1" applyFill="1" applyBorder="1" applyAlignment="1">
      <alignment horizontal="center"/>
    </xf>
    <xf numFmtId="0" fontId="21" fillId="4" borderId="42" xfId="0" applyFont="1" applyFill="1" applyBorder="1"/>
    <xf numFmtId="0" fontId="15" fillId="4" borderId="46" xfId="0" applyFont="1" applyFill="1" applyBorder="1" applyAlignment="1">
      <alignment horizontal="center"/>
    </xf>
    <xf numFmtId="0" fontId="15" fillId="4" borderId="49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wrapText="1"/>
    </xf>
    <xf numFmtId="4" fontId="13" fillId="0" borderId="0" xfId="0" applyNumberFormat="1" applyFont="1" applyAlignment="1">
      <alignment horizontal="center" vertical="center" wrapText="1"/>
    </xf>
    <xf numFmtId="0" fontId="16" fillId="0" borderId="0" xfId="0" applyFont="1"/>
    <xf numFmtId="3" fontId="15" fillId="3" borderId="27" xfId="0" applyNumberFormat="1" applyFont="1" applyFill="1" applyBorder="1" applyAlignment="1">
      <alignment horizontal="center" vertical="center"/>
    </xf>
    <xf numFmtId="3" fontId="15" fillId="3" borderId="47" xfId="0" applyNumberFormat="1" applyFont="1" applyFill="1" applyBorder="1" applyAlignment="1">
      <alignment horizontal="center" vertical="center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 vertical="center"/>
    </xf>
    <xf numFmtId="3" fontId="15" fillId="3" borderId="44" xfId="0" applyNumberFormat="1" applyFont="1" applyFill="1" applyBorder="1" applyAlignment="1">
      <alignment horizontal="center"/>
    </xf>
    <xf numFmtId="3" fontId="15" fillId="3" borderId="44" xfId="0" applyNumberFormat="1" applyFont="1" applyFill="1" applyBorder="1" applyAlignment="1">
      <alignment horizontal="center" vertical="center"/>
    </xf>
    <xf numFmtId="3" fontId="15" fillId="3" borderId="21" xfId="0" applyNumberFormat="1" applyFont="1" applyFill="1" applyBorder="1" applyAlignment="1">
      <alignment horizontal="center" vertical="center"/>
    </xf>
    <xf numFmtId="3" fontId="15" fillId="3" borderId="24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0" fontId="33" fillId="6" borderId="53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wrapText="1"/>
    </xf>
    <xf numFmtId="4" fontId="13" fillId="3" borderId="49" xfId="0" applyNumberFormat="1" applyFont="1" applyFill="1" applyBorder="1" applyAlignment="1">
      <alignment horizontal="center" vertical="center" wrapText="1"/>
    </xf>
    <xf numFmtId="4" fontId="13" fillId="3" borderId="50" xfId="0" applyNumberFormat="1" applyFont="1" applyFill="1" applyBorder="1" applyAlignment="1">
      <alignment horizontal="center" vertical="center" wrapText="1"/>
    </xf>
    <xf numFmtId="4" fontId="13" fillId="3" borderId="46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38" fillId="0" borderId="0" xfId="0" applyFont="1"/>
    <xf numFmtId="0" fontId="0" fillId="3" borderId="0" xfId="0" applyFill="1" applyAlignment="1">
      <alignment horizontal="center"/>
    </xf>
    <xf numFmtId="14" fontId="15" fillId="3" borderId="0" xfId="0" applyNumberFormat="1" applyFont="1" applyFill="1"/>
    <xf numFmtId="4" fontId="15" fillId="3" borderId="0" xfId="0" applyNumberFormat="1" applyFont="1" applyFill="1" applyAlignment="1">
      <alignment horizontal="left"/>
    </xf>
    <xf numFmtId="0" fontId="15" fillId="3" borderId="28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3" fontId="15" fillId="3" borderId="2" xfId="0" applyNumberFormat="1" applyFont="1" applyFill="1" applyBorder="1" applyAlignment="1">
      <alignment horizontal="center" vertical="center"/>
    </xf>
    <xf numFmtId="3" fontId="15" fillId="3" borderId="45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/>
    </xf>
    <xf numFmtId="3" fontId="15" fillId="3" borderId="19" xfId="0" applyNumberFormat="1" applyFont="1" applyFill="1" applyBorder="1" applyAlignment="1">
      <alignment horizontal="center" vertical="center"/>
    </xf>
    <xf numFmtId="3" fontId="15" fillId="3" borderId="20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0" fontId="33" fillId="0" borderId="46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4" fillId="0" borderId="0" xfId="0" applyFont="1" applyAlignment="1">
      <alignment wrapText="1"/>
    </xf>
    <xf numFmtId="167" fontId="26" fillId="3" borderId="0" xfId="0" applyNumberFormat="1" applyFont="1" applyFill="1" applyAlignment="1">
      <alignment horizontal="center"/>
    </xf>
    <xf numFmtId="0" fontId="15" fillId="4" borderId="4" xfId="0" applyFont="1" applyFill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5" xfId="0" applyNumberFormat="1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0" borderId="37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5" fillId="0" borderId="55" xfId="0" applyNumberFormat="1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3" fontId="15" fillId="0" borderId="38" xfId="0" applyNumberFormat="1" applyFont="1" applyBorder="1" applyAlignment="1">
      <alignment horizontal="center"/>
    </xf>
    <xf numFmtId="2" fontId="15" fillId="0" borderId="39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0" fontId="15" fillId="4" borderId="62" xfId="0" applyFont="1" applyFill="1" applyBorder="1" applyAlignment="1">
      <alignment horizontal="center"/>
    </xf>
    <xf numFmtId="4" fontId="33" fillId="0" borderId="45" xfId="0" applyNumberFormat="1" applyFont="1" applyBorder="1" applyAlignment="1">
      <alignment horizontal="center"/>
    </xf>
    <xf numFmtId="4" fontId="33" fillId="0" borderId="22" xfId="0" applyNumberFormat="1" applyFont="1" applyBorder="1" applyAlignment="1">
      <alignment horizontal="center"/>
    </xf>
    <xf numFmtId="4" fontId="15" fillId="0" borderId="31" xfId="0" applyNumberFormat="1" applyFont="1" applyBorder="1" applyAlignment="1">
      <alignment horizontal="center"/>
    </xf>
    <xf numFmtId="4" fontId="15" fillId="0" borderId="57" xfId="0" applyNumberFormat="1" applyFont="1" applyBorder="1" applyAlignment="1">
      <alignment horizontal="center"/>
    </xf>
    <xf numFmtId="4" fontId="15" fillId="0" borderId="62" xfId="0" applyNumberFormat="1" applyFont="1" applyBorder="1" applyAlignment="1">
      <alignment horizontal="center"/>
    </xf>
    <xf numFmtId="4" fontId="15" fillId="0" borderId="50" xfId="0" applyNumberFormat="1" applyFont="1" applyBorder="1" applyAlignment="1">
      <alignment horizontal="center"/>
    </xf>
    <xf numFmtId="4" fontId="15" fillId="0" borderId="41" xfId="0" applyNumberFormat="1" applyFont="1" applyBorder="1" applyAlignment="1">
      <alignment horizontal="center"/>
    </xf>
    <xf numFmtId="2" fontId="15" fillId="0" borderId="53" xfId="0" applyNumberFormat="1" applyFont="1" applyBorder="1" applyAlignment="1">
      <alignment horizontal="center"/>
    </xf>
    <xf numFmtId="0" fontId="15" fillId="3" borderId="3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45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center"/>
    </xf>
    <xf numFmtId="4" fontId="15" fillId="3" borderId="28" xfId="0" applyNumberFormat="1" applyFont="1" applyFill="1" applyBorder="1" applyAlignment="1">
      <alignment horizontal="center" vertical="center"/>
    </xf>
    <xf numFmtId="4" fontId="15" fillId="3" borderId="30" xfId="0" applyNumberFormat="1" applyFont="1" applyFill="1" applyBorder="1" applyAlignment="1">
      <alignment horizontal="center" vertical="center"/>
    </xf>
    <xf numFmtId="4" fontId="15" fillId="3" borderId="34" xfId="0" applyNumberFormat="1" applyFont="1" applyFill="1" applyBorder="1" applyAlignment="1">
      <alignment horizontal="center" vertical="center"/>
    </xf>
    <xf numFmtId="4" fontId="15" fillId="3" borderId="45" xfId="0" applyNumberFormat="1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/>
    </xf>
    <xf numFmtId="4" fontId="15" fillId="3" borderId="21" xfId="0" applyNumberFormat="1" applyFont="1" applyFill="1" applyBorder="1" applyAlignment="1">
      <alignment horizontal="center" vertical="center"/>
    </xf>
    <xf numFmtId="4" fontId="15" fillId="3" borderId="22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wrapText="1"/>
    </xf>
    <xf numFmtId="0" fontId="15" fillId="4" borderId="14" xfId="0" applyFont="1" applyFill="1" applyBorder="1" applyAlignment="1">
      <alignment horizontal="center" wrapText="1"/>
    </xf>
    <xf numFmtId="0" fontId="15" fillId="4" borderId="15" xfId="0" applyFont="1" applyFill="1" applyBorder="1" applyAlignment="1">
      <alignment horizontal="center" wrapText="1"/>
    </xf>
    <xf numFmtId="4" fontId="15" fillId="0" borderId="27" xfId="0" applyNumberFormat="1" applyFont="1" applyBorder="1" applyAlignment="1">
      <alignment horizontal="center"/>
    </xf>
    <xf numFmtId="4" fontId="15" fillId="0" borderId="49" xfId="0" applyNumberFormat="1" applyFont="1" applyBorder="1" applyAlignment="1">
      <alignment horizontal="center"/>
    </xf>
    <xf numFmtId="0" fontId="15" fillId="4" borderId="33" xfId="0" applyFont="1" applyFill="1" applyBorder="1" applyAlignment="1">
      <alignment horizontal="center"/>
    </xf>
    <xf numFmtId="4" fontId="15" fillId="0" borderId="40" xfId="0" applyNumberFormat="1" applyFont="1" applyBorder="1" applyAlignment="1">
      <alignment horizontal="right"/>
    </xf>
    <xf numFmtId="4" fontId="15" fillId="0" borderId="62" xfId="0" applyNumberFormat="1" applyFont="1" applyBorder="1" applyAlignment="1">
      <alignment horizontal="right"/>
    </xf>
    <xf numFmtId="4" fontId="15" fillId="0" borderId="33" xfId="0" applyNumberFormat="1" applyFont="1" applyBorder="1" applyAlignment="1">
      <alignment horizontal="right"/>
    </xf>
    <xf numFmtId="4" fontId="15" fillId="0" borderId="39" xfId="0" applyNumberFormat="1" applyFont="1" applyBorder="1" applyAlignment="1">
      <alignment horizontal="right"/>
    </xf>
    <xf numFmtId="4" fontId="15" fillId="0" borderId="46" xfId="0" applyNumberFormat="1" applyFont="1" applyBorder="1" applyAlignment="1">
      <alignment horizontal="right"/>
    </xf>
    <xf numFmtId="4" fontId="15" fillId="0" borderId="35" xfId="0" applyNumberFormat="1" applyFont="1" applyBorder="1" applyAlignment="1">
      <alignment horizontal="right"/>
    </xf>
    <xf numFmtId="4" fontId="15" fillId="0" borderId="50" xfId="0" applyNumberFormat="1" applyFont="1" applyBorder="1" applyAlignment="1">
      <alignment horizontal="right"/>
    </xf>
    <xf numFmtId="4" fontId="15" fillId="0" borderId="18" xfId="0" applyNumberFormat="1" applyFont="1" applyBorder="1" applyAlignment="1">
      <alignment horizontal="right"/>
    </xf>
    <xf numFmtId="4" fontId="15" fillId="0" borderId="25" xfId="0" applyNumberFormat="1" applyFont="1" applyBorder="1" applyAlignment="1">
      <alignment horizontal="right"/>
    </xf>
    <xf numFmtId="4" fontId="15" fillId="0" borderId="26" xfId="0" applyNumberFormat="1" applyFont="1" applyBorder="1" applyAlignment="1">
      <alignment horizontal="right"/>
    </xf>
    <xf numFmtId="4" fontId="15" fillId="0" borderId="5" xfId="0" applyNumberFormat="1" applyFont="1" applyBorder="1" applyAlignment="1">
      <alignment horizontal="right"/>
    </xf>
    <xf numFmtId="0" fontId="33" fillId="4" borderId="33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4" fontId="33" fillId="0" borderId="40" xfId="0" applyNumberFormat="1" applyFont="1" applyBorder="1" applyAlignment="1">
      <alignment horizontal="right"/>
    </xf>
    <xf numFmtId="4" fontId="33" fillId="0" borderId="33" xfId="0" applyNumberFormat="1" applyFont="1" applyBorder="1" applyAlignment="1">
      <alignment horizontal="right"/>
    </xf>
    <xf numFmtId="4" fontId="15" fillId="0" borderId="6" xfId="0" applyNumberFormat="1" applyFont="1" applyBorder="1"/>
    <xf numFmtId="4" fontId="15" fillId="3" borderId="62" xfId="0" applyNumberFormat="1" applyFont="1" applyFill="1" applyBorder="1" applyAlignment="1">
      <alignment horizontal="center"/>
    </xf>
    <xf numFmtId="4" fontId="15" fillId="3" borderId="50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 vertical="center" wrapText="1"/>
    </xf>
    <xf numFmtId="4" fontId="13" fillId="0" borderId="62" xfId="0" applyNumberFormat="1" applyFont="1" applyBorder="1" applyAlignment="1">
      <alignment horizontal="center" vertical="center" wrapText="1"/>
    </xf>
    <xf numFmtId="4" fontId="13" fillId="0" borderId="49" xfId="0" applyNumberFormat="1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14" fontId="13" fillId="3" borderId="7" xfId="0" applyNumberFormat="1" applyFont="1" applyFill="1" applyBorder="1" applyAlignment="1">
      <alignment horizontal="center"/>
    </xf>
    <xf numFmtId="14" fontId="19" fillId="0" borderId="7" xfId="0" applyNumberFormat="1" applyFont="1" applyBorder="1" applyAlignment="1">
      <alignment horizontal="center"/>
    </xf>
    <xf numFmtId="3" fontId="15" fillId="0" borderId="14" xfId="0" quotePrefix="1" applyNumberFormat="1" applyFont="1" applyBorder="1" applyAlignment="1">
      <alignment horizontal="center"/>
    </xf>
    <xf numFmtId="3" fontId="15" fillId="0" borderId="47" xfId="0" quotePrefix="1" applyNumberFormat="1" applyFont="1" applyBorder="1" applyAlignment="1">
      <alignment horizontal="center"/>
    </xf>
    <xf numFmtId="3" fontId="15" fillId="0" borderId="48" xfId="0" quotePrefix="1" applyNumberFormat="1" applyFont="1" applyBorder="1" applyAlignment="1">
      <alignment horizontal="center"/>
    </xf>
    <xf numFmtId="0" fontId="40" fillId="0" borderId="0" xfId="709"/>
    <xf numFmtId="4" fontId="40" fillId="0" borderId="0" xfId="709" applyNumberFormat="1"/>
    <xf numFmtId="2" fontId="40" fillId="0" borderId="0" xfId="709" applyNumberFormat="1"/>
    <xf numFmtId="0" fontId="40" fillId="4" borderId="49" xfId="709" applyFill="1" applyBorder="1" applyAlignment="1">
      <alignment horizontal="center"/>
    </xf>
    <xf numFmtId="0" fontId="40" fillId="4" borderId="50" xfId="709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4" fontId="40" fillId="3" borderId="0" xfId="709" applyNumberFormat="1" applyFill="1" applyAlignment="1">
      <alignment horizontal="center" vertical="center"/>
    </xf>
    <xf numFmtId="4" fontId="40" fillId="3" borderId="0" xfId="709" applyNumberFormat="1" applyFill="1" applyAlignment="1">
      <alignment vertical="center"/>
    </xf>
    <xf numFmtId="4" fontId="15" fillId="0" borderId="46" xfId="0" applyNumberFormat="1" applyFont="1" applyBorder="1" applyAlignment="1">
      <alignment horizontal="center"/>
    </xf>
    <xf numFmtId="4" fontId="15" fillId="0" borderId="43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42" fillId="0" borderId="0" xfId="709" applyFont="1"/>
    <xf numFmtId="0" fontId="42" fillId="0" borderId="0" xfId="709" applyFont="1" applyAlignment="1">
      <alignment horizontal="center"/>
    </xf>
    <xf numFmtId="166" fontId="40" fillId="0" borderId="0" xfId="709" applyNumberFormat="1" applyAlignment="1">
      <alignment horizontal="center"/>
    </xf>
    <xf numFmtId="166" fontId="40" fillId="0" borderId="0" xfId="709" applyNumberFormat="1"/>
    <xf numFmtId="0" fontId="43" fillId="0" borderId="0" xfId="709" applyFont="1"/>
    <xf numFmtId="169" fontId="43" fillId="0" borderId="0" xfId="775" applyFont="1"/>
    <xf numFmtId="0" fontId="43" fillId="0" borderId="0" xfId="709" applyFont="1" applyAlignment="1">
      <alignment horizontal="left"/>
    </xf>
    <xf numFmtId="0" fontId="39" fillId="0" borderId="0" xfId="709" applyFont="1" applyAlignment="1">
      <alignment horizontal="center"/>
    </xf>
    <xf numFmtId="168" fontId="39" fillId="0" borderId="0" xfId="773" applyFont="1" applyBorder="1" applyAlignment="1">
      <alignment horizontal="justify" wrapText="1"/>
    </xf>
    <xf numFmtId="0" fontId="15" fillId="4" borderId="47" xfId="0" applyFont="1" applyFill="1" applyBorder="1" applyAlignment="1">
      <alignment vertical="center" wrapText="1" shrinkToFit="1"/>
    </xf>
    <xf numFmtId="0" fontId="15" fillId="4" borderId="48" xfId="0" applyFont="1" applyFill="1" applyBorder="1" applyAlignment="1">
      <alignment vertical="center" wrapText="1" shrinkToFit="1"/>
    </xf>
    <xf numFmtId="0" fontId="15" fillId="4" borderId="27" xfId="0" applyFont="1" applyFill="1" applyBorder="1" applyAlignment="1">
      <alignment vertical="center" wrapText="1" shrinkToFit="1"/>
    </xf>
    <xf numFmtId="0" fontId="15" fillId="4" borderId="27" xfId="0" applyFont="1" applyFill="1" applyBorder="1" applyAlignment="1">
      <alignment horizontal="left" vertical="center" wrapText="1" shrinkToFit="1"/>
    </xf>
    <xf numFmtId="168" fontId="15" fillId="0" borderId="0" xfId="773" applyFont="1"/>
    <xf numFmtId="0" fontId="39" fillId="0" borderId="0" xfId="709" applyFont="1"/>
    <xf numFmtId="168" fontId="39" fillId="0" borderId="0" xfId="773" applyFont="1"/>
    <xf numFmtId="0" fontId="48" fillId="0" borderId="0" xfId="709" applyFont="1"/>
    <xf numFmtId="4" fontId="39" fillId="0" borderId="0" xfId="709" applyNumberFormat="1" applyFont="1"/>
    <xf numFmtId="0" fontId="39" fillId="4" borderId="51" xfId="709" applyFont="1" applyFill="1" applyBorder="1"/>
    <xf numFmtId="0" fontId="39" fillId="4" borderId="52" xfId="709" applyFont="1" applyFill="1" applyBorder="1"/>
    <xf numFmtId="0" fontId="39" fillId="4" borderId="53" xfId="709" applyFont="1" applyFill="1" applyBorder="1"/>
    <xf numFmtId="0" fontId="15" fillId="4" borderId="36" xfId="0" applyFont="1" applyFill="1" applyBorder="1" applyAlignment="1">
      <alignment vertical="center" wrapText="1" shrinkToFit="1"/>
    </xf>
    <xf numFmtId="168" fontId="39" fillId="3" borderId="0" xfId="773" applyFont="1" applyFill="1" applyBorder="1" applyAlignment="1">
      <alignment horizontal="justify" wrapText="1"/>
    </xf>
    <xf numFmtId="0" fontId="39" fillId="3" borderId="0" xfId="709" applyFont="1" applyFill="1" applyAlignment="1">
      <alignment horizontal="center" vertical="top" wrapText="1"/>
    </xf>
    <xf numFmtId="0" fontId="39" fillId="3" borderId="19" xfId="709" applyFont="1" applyFill="1" applyBorder="1" applyAlignment="1">
      <alignment horizontal="center" vertical="top" wrapText="1"/>
    </xf>
    <xf numFmtId="0" fontId="15" fillId="3" borderId="0" xfId="0" applyFont="1" applyFill="1" applyAlignment="1">
      <alignment vertical="center" wrapText="1" shrinkToFit="1"/>
    </xf>
    <xf numFmtId="0" fontId="43" fillId="4" borderId="48" xfId="709" applyFont="1" applyFill="1" applyBorder="1"/>
    <xf numFmtId="0" fontId="39" fillId="4" borderId="50" xfId="709" applyFont="1" applyFill="1" applyBorder="1" applyAlignment="1">
      <alignment horizontal="center" vertical="top" wrapText="1"/>
    </xf>
    <xf numFmtId="0" fontId="50" fillId="0" borderId="0" xfId="709" applyFont="1" applyAlignment="1">
      <alignment horizontal="center" wrapText="1"/>
    </xf>
    <xf numFmtId="0" fontId="15" fillId="4" borderId="47" xfId="0" applyFont="1" applyFill="1" applyBorder="1" applyAlignment="1">
      <alignment horizontal="left" vertical="center" wrapText="1" shrinkToFit="1"/>
    </xf>
    <xf numFmtId="0" fontId="40" fillId="3" borderId="0" xfId="709" applyFill="1"/>
    <xf numFmtId="4" fontId="39" fillId="0" borderId="0" xfId="709" applyNumberFormat="1" applyFont="1" applyAlignment="1">
      <alignment horizontal="justify" wrapText="1"/>
    </xf>
    <xf numFmtId="2" fontId="39" fillId="0" borderId="0" xfId="709" applyNumberFormat="1" applyFont="1" applyAlignment="1">
      <alignment horizontal="right" wrapText="1"/>
    </xf>
    <xf numFmtId="4" fontId="39" fillId="0" borderId="0" xfId="709" applyNumberFormat="1" applyFont="1" applyAlignment="1">
      <alignment horizontal="right" wrapText="1"/>
    </xf>
    <xf numFmtId="2" fontId="15" fillId="0" borderId="0" xfId="0" applyNumberFormat="1" applyFont="1" applyAlignment="1">
      <alignment horizontal="center"/>
    </xf>
    <xf numFmtId="0" fontId="43" fillId="3" borderId="0" xfId="709" applyFont="1" applyFill="1"/>
    <xf numFmtId="0" fontId="15" fillId="4" borderId="36" xfId="0" applyFont="1" applyFill="1" applyBorder="1" applyAlignment="1">
      <alignment horizontal="left" vertical="center" wrapText="1" shrinkToFit="1"/>
    </xf>
    <xf numFmtId="0" fontId="15" fillId="3" borderId="0" xfId="0" applyFont="1" applyFill="1" applyAlignment="1">
      <alignment horizontal="left" vertical="center" wrapText="1" shrinkToFit="1"/>
    </xf>
    <xf numFmtId="4" fontId="15" fillId="3" borderId="0" xfId="0" applyNumberFormat="1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  <xf numFmtId="0" fontId="39" fillId="3" borderId="0" xfId="709" applyFont="1" applyFill="1"/>
    <xf numFmtId="0" fontId="39" fillId="4" borderId="48" xfId="709" applyFont="1" applyFill="1" applyBorder="1"/>
    <xf numFmtId="0" fontId="39" fillId="4" borderId="56" xfId="709" applyFont="1" applyFill="1" applyBorder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40" fillId="0" borderId="20" xfId="0" applyNumberFormat="1" applyFont="1" applyBorder="1" applyAlignment="1">
      <alignment horizontal="center" vertical="center" wrapText="1"/>
    </xf>
    <xf numFmtId="4" fontId="40" fillId="3" borderId="49" xfId="0" applyNumberFormat="1" applyFont="1" applyFill="1" applyBorder="1" applyAlignment="1">
      <alignment horizontal="center"/>
    </xf>
    <xf numFmtId="4" fontId="40" fillId="0" borderId="20" xfId="0" applyNumberFormat="1" applyFont="1" applyBorder="1" applyAlignment="1">
      <alignment horizontal="center"/>
    </xf>
    <xf numFmtId="4" fontId="40" fillId="0" borderId="49" xfId="0" applyNumberFormat="1" applyFont="1" applyBorder="1" applyAlignment="1">
      <alignment horizontal="center"/>
    </xf>
    <xf numFmtId="10" fontId="4" fillId="0" borderId="0" xfId="0" applyNumberFormat="1" applyFont="1"/>
    <xf numFmtId="4" fontId="15" fillId="0" borderId="44" xfId="0" applyNumberFormat="1" applyFont="1" applyBorder="1" applyAlignment="1">
      <alignment horizontal="center"/>
    </xf>
    <xf numFmtId="0" fontId="45" fillId="4" borderId="34" xfId="709" applyFont="1" applyFill="1" applyBorder="1" applyAlignment="1">
      <alignment horizontal="center" vertical="center" wrapText="1"/>
    </xf>
    <xf numFmtId="0" fontId="45" fillId="4" borderId="21" xfId="709" applyFont="1" applyFill="1" applyBorder="1" applyAlignment="1">
      <alignment horizontal="center" vertical="center" wrapText="1"/>
    </xf>
    <xf numFmtId="168" fontId="40" fillId="0" borderId="46" xfId="773" applyFont="1" applyBorder="1" applyAlignment="1">
      <alignment horizontal="center" wrapText="1"/>
    </xf>
    <xf numFmtId="168" fontId="40" fillId="0" borderId="34" xfId="773" applyFont="1" applyBorder="1" applyAlignment="1">
      <alignment horizontal="center" wrapText="1"/>
    </xf>
    <xf numFmtId="168" fontId="40" fillId="0" borderId="49" xfId="773" applyFont="1" applyBorder="1" applyAlignment="1">
      <alignment horizontal="center" wrapText="1"/>
    </xf>
    <xf numFmtId="4" fontId="40" fillId="0" borderId="44" xfId="709" applyNumberFormat="1" applyBorder="1" applyAlignment="1">
      <alignment horizontal="center" wrapText="1"/>
    </xf>
    <xf numFmtId="2" fontId="40" fillId="0" borderId="49" xfId="709" applyNumberFormat="1" applyBorder="1" applyAlignment="1">
      <alignment horizontal="center" wrapText="1"/>
    </xf>
    <xf numFmtId="4" fontId="40" fillId="0" borderId="49" xfId="709" applyNumberFormat="1" applyBorder="1" applyAlignment="1">
      <alignment horizontal="center" wrapText="1"/>
    </xf>
    <xf numFmtId="168" fontId="40" fillId="0" borderId="43" xfId="773" applyFont="1" applyBorder="1" applyAlignment="1">
      <alignment horizontal="center" wrapText="1"/>
    </xf>
    <xf numFmtId="168" fontId="40" fillId="0" borderId="21" xfId="773" applyFont="1" applyBorder="1" applyAlignment="1">
      <alignment horizontal="center" wrapText="1"/>
    </xf>
    <xf numFmtId="168" fontId="40" fillId="0" borderId="50" xfId="773" applyFont="1" applyBorder="1" applyAlignment="1">
      <alignment horizontal="center" wrapText="1"/>
    </xf>
    <xf numFmtId="4" fontId="40" fillId="0" borderId="56" xfId="709" applyNumberFormat="1" applyBorder="1" applyAlignment="1">
      <alignment horizontal="center" wrapText="1"/>
    </xf>
    <xf numFmtId="2" fontId="40" fillId="0" borderId="50" xfId="709" applyNumberFormat="1" applyBorder="1" applyAlignment="1">
      <alignment horizontal="center" wrapText="1"/>
    </xf>
    <xf numFmtId="4" fontId="40" fillId="0" borderId="50" xfId="709" applyNumberFormat="1" applyBorder="1" applyAlignment="1">
      <alignment horizontal="center" wrapText="1"/>
    </xf>
    <xf numFmtId="0" fontId="40" fillId="4" borderId="46" xfId="709" applyFill="1" applyBorder="1" applyAlignment="1">
      <alignment horizontal="center" vertical="top" wrapText="1"/>
    </xf>
    <xf numFmtId="0" fontId="40" fillId="4" borderId="43" xfId="709" applyFill="1" applyBorder="1" applyAlignment="1">
      <alignment horizontal="center" vertical="top" wrapText="1"/>
    </xf>
    <xf numFmtId="168" fontId="40" fillId="3" borderId="48" xfId="773" applyFont="1" applyFill="1" applyBorder="1" applyAlignment="1">
      <alignment horizontal="center" vertical="center" wrapText="1"/>
    </xf>
    <xf numFmtId="168" fontId="40" fillId="3" borderId="50" xfId="773" applyFont="1" applyFill="1" applyBorder="1" applyAlignment="1">
      <alignment horizontal="center" vertical="center" wrapText="1"/>
    </xf>
    <xf numFmtId="168" fontId="40" fillId="3" borderId="36" xfId="773" applyFont="1" applyFill="1" applyBorder="1" applyAlignment="1">
      <alignment horizontal="center" vertical="center" wrapText="1"/>
    </xf>
    <xf numFmtId="0" fontId="40" fillId="4" borderId="50" xfId="709" applyFill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/>
    </xf>
    <xf numFmtId="4" fontId="13" fillId="0" borderId="62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4" fontId="13" fillId="0" borderId="49" xfId="0" applyNumberFormat="1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4" fontId="13" fillId="0" borderId="50" xfId="0" applyNumberFormat="1" applyFont="1" applyBorder="1" applyAlignment="1">
      <alignment horizontal="center"/>
    </xf>
    <xf numFmtId="2" fontId="13" fillId="0" borderId="36" xfId="0" applyNumberFormat="1" applyFont="1" applyBorder="1" applyAlignment="1">
      <alignment horizontal="center"/>
    </xf>
    <xf numFmtId="4" fontId="13" fillId="0" borderId="41" xfId="0" applyNumberFormat="1" applyFont="1" applyBorder="1" applyAlignment="1">
      <alignment horizontal="center"/>
    </xf>
    <xf numFmtId="4" fontId="13" fillId="0" borderId="22" xfId="0" applyNumberFormat="1" applyFont="1" applyBorder="1" applyAlignment="1">
      <alignment horizontal="center"/>
    </xf>
    <xf numFmtId="0" fontId="14" fillId="4" borderId="54" xfId="0" applyFont="1" applyFill="1" applyBorder="1" applyAlignment="1">
      <alignment horizontal="center" wrapText="1"/>
    </xf>
    <xf numFmtId="14" fontId="14" fillId="4" borderId="43" xfId="0" applyNumberFormat="1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/>
    </xf>
    <xf numFmtId="14" fontId="14" fillId="4" borderId="22" xfId="0" applyNumberFormat="1" applyFont="1" applyFill="1" applyBorder="1" applyAlignment="1">
      <alignment horizontal="center"/>
    </xf>
    <xf numFmtId="9" fontId="14" fillId="4" borderId="54" xfId="0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14" fontId="14" fillId="4" borderId="54" xfId="0" applyNumberFormat="1" applyFont="1" applyFill="1" applyBorder="1" applyAlignment="1">
      <alignment horizontal="center" vertical="center" wrapText="1"/>
    </xf>
    <xf numFmtId="14" fontId="34" fillId="6" borderId="20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wrapText="1"/>
    </xf>
    <xf numFmtId="14" fontId="14" fillId="4" borderId="43" xfId="0" applyNumberFormat="1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68" xfId="0" applyFont="1" applyFill="1" applyBorder="1" applyAlignment="1">
      <alignment horizontal="center"/>
    </xf>
    <xf numFmtId="4" fontId="39" fillId="0" borderId="49" xfId="709" applyNumberFormat="1" applyFont="1" applyBorder="1" applyAlignment="1">
      <alignment horizontal="center" vertical="center" wrapText="1"/>
    </xf>
    <xf numFmtId="4" fontId="39" fillId="0" borderId="50" xfId="709" applyNumberFormat="1" applyFont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/>
    </xf>
    <xf numFmtId="4" fontId="15" fillId="0" borderId="14" xfId="0" applyNumberFormat="1" applyFont="1" applyBorder="1" applyAlignment="1">
      <alignment horizontal="center"/>
    </xf>
    <xf numFmtId="14" fontId="14" fillId="4" borderId="24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/>
    </xf>
    <xf numFmtId="0" fontId="14" fillId="4" borderId="43" xfId="0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/>
    </xf>
    <xf numFmtId="4" fontId="15" fillId="0" borderId="48" xfId="0" applyNumberFormat="1" applyFont="1" applyBorder="1" applyAlignment="1">
      <alignment horizontal="center"/>
    </xf>
    <xf numFmtId="4" fontId="15" fillId="0" borderId="36" xfId="0" applyNumberFormat="1" applyFont="1" applyBorder="1" applyAlignment="1">
      <alignment horizontal="center"/>
    </xf>
    <xf numFmtId="4" fontId="15" fillId="0" borderId="47" xfId="0" applyNumberFormat="1" applyFont="1" applyBorder="1" applyAlignment="1">
      <alignment horizontal="center"/>
    </xf>
    <xf numFmtId="4" fontId="15" fillId="0" borderId="35" xfId="0" applyNumberFormat="1" applyFont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5" fillId="4" borderId="56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40" fillId="4" borderId="46" xfId="709" applyFill="1" applyBorder="1" applyAlignment="1">
      <alignment horizontal="center" vertical="center" wrapText="1"/>
    </xf>
    <xf numFmtId="4" fontId="15" fillId="0" borderId="34" xfId="0" applyNumberFormat="1" applyFont="1" applyBorder="1" applyAlignment="1">
      <alignment horizontal="center"/>
    </xf>
    <xf numFmtId="0" fontId="14" fillId="4" borderId="52" xfId="0" applyFont="1" applyFill="1" applyBorder="1" applyAlignment="1">
      <alignment horizontal="center" vertical="center"/>
    </xf>
    <xf numFmtId="4" fontId="15" fillId="0" borderId="56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14" fillId="4" borderId="7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4" fontId="14" fillId="4" borderId="17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/>
    </xf>
    <xf numFmtId="0" fontId="15" fillId="0" borderId="1" xfId="0" applyFont="1" applyBorder="1"/>
    <xf numFmtId="4" fontId="39" fillId="0" borderId="5" xfId="35" applyNumberFormat="1" applyFont="1" applyBorder="1" applyAlignment="1">
      <alignment horizontal="center"/>
    </xf>
    <xf numFmtId="4" fontId="15" fillId="0" borderId="8" xfId="0" applyNumberFormat="1" applyFont="1" applyBorder="1"/>
    <xf numFmtId="4" fontId="39" fillId="0" borderId="39" xfId="35" applyNumberFormat="1" applyFont="1" applyBorder="1" applyAlignment="1">
      <alignment horizontal="center"/>
    </xf>
    <xf numFmtId="4" fontId="15" fillId="0" borderId="37" xfId="0" applyNumberFormat="1" applyFont="1" applyBorder="1"/>
    <xf numFmtId="0" fontId="15" fillId="4" borderId="3" xfId="0" applyFont="1" applyFill="1" applyBorder="1" applyAlignment="1">
      <alignment horizontal="center"/>
    </xf>
    <xf numFmtId="0" fontId="15" fillId="4" borderId="73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0" fontId="33" fillId="4" borderId="18" xfId="0" applyFont="1" applyFill="1" applyBorder="1" applyAlignment="1">
      <alignment horizontal="center"/>
    </xf>
    <xf numFmtId="0" fontId="33" fillId="4" borderId="73" xfId="0" applyFont="1" applyFill="1" applyBorder="1" applyAlignment="1">
      <alignment horizontal="center"/>
    </xf>
    <xf numFmtId="4" fontId="15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5" fillId="0" borderId="74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5" fillId="0" borderId="49" xfId="0" applyNumberFormat="1" applyFont="1" applyBorder="1" applyAlignment="1">
      <alignment horizontal="right"/>
    </xf>
    <xf numFmtId="4" fontId="15" fillId="0" borderId="68" xfId="0" applyNumberFormat="1" applyFont="1" applyBorder="1" applyAlignment="1">
      <alignment horizontal="right"/>
    </xf>
    <xf numFmtId="4" fontId="33" fillId="0" borderId="25" xfId="0" applyNumberFormat="1" applyFont="1" applyBorder="1" applyAlignment="1">
      <alignment horizontal="right"/>
    </xf>
    <xf numFmtId="4" fontId="33" fillId="0" borderId="26" xfId="0" applyNumberFormat="1" applyFont="1" applyBorder="1" applyAlignment="1">
      <alignment horizontal="right"/>
    </xf>
    <xf numFmtId="4" fontId="0" fillId="0" borderId="26" xfId="0" applyNumberFormat="1" applyBorder="1"/>
    <xf numFmtId="0" fontId="0" fillId="0" borderId="3" xfId="0" applyBorder="1"/>
    <xf numFmtId="0" fontId="0" fillId="0" borderId="26" xfId="0" applyBorder="1"/>
    <xf numFmtId="0" fontId="0" fillId="0" borderId="33" xfId="0" applyBorder="1"/>
    <xf numFmtId="0" fontId="14" fillId="4" borderId="43" xfId="0" applyFont="1" applyFill="1" applyBorder="1" applyAlignment="1">
      <alignment horizontal="center"/>
    </xf>
    <xf numFmtId="4" fontId="40" fillId="3" borderId="0" xfId="709" applyNumberFormat="1" applyFill="1"/>
    <xf numFmtId="0" fontId="24" fillId="3" borderId="0" xfId="0" applyFont="1" applyFill="1" applyAlignment="1">
      <alignment wrapText="1"/>
    </xf>
    <xf numFmtId="0" fontId="24" fillId="3" borderId="0" xfId="0" applyFont="1" applyFill="1"/>
    <xf numFmtId="0" fontId="11" fillId="4" borderId="53" xfId="0" applyFont="1" applyFill="1" applyBorder="1" applyAlignment="1">
      <alignment vertical="center"/>
    </xf>
    <xf numFmtId="0" fontId="19" fillId="3" borderId="0" xfId="0" applyFont="1" applyFill="1" applyAlignment="1">
      <alignment vertical="center" wrapText="1"/>
    </xf>
    <xf numFmtId="2" fontId="13" fillId="3" borderId="0" xfId="0" applyNumberFormat="1" applyFont="1" applyFill="1" applyAlignment="1">
      <alignment vertical="center" wrapText="1"/>
    </xf>
    <xf numFmtId="0" fontId="14" fillId="4" borderId="16" xfId="0" applyFont="1" applyFill="1" applyBorder="1" applyAlignment="1">
      <alignment horizontal="center" wrapText="1"/>
    </xf>
    <xf numFmtId="0" fontId="14" fillId="4" borderId="42" xfId="0" applyFont="1" applyFill="1" applyBorder="1" applyAlignment="1">
      <alignment horizontal="center" wrapText="1"/>
    </xf>
    <xf numFmtId="0" fontId="14" fillId="4" borderId="51" xfId="0" applyFont="1" applyFill="1" applyBorder="1" applyAlignment="1">
      <alignment horizontal="center" vertical="center" wrapText="1"/>
    </xf>
    <xf numFmtId="10" fontId="14" fillId="4" borderId="52" xfId="0" applyNumberFormat="1" applyFont="1" applyFill="1" applyBorder="1" applyAlignment="1">
      <alignment vertical="center"/>
    </xf>
    <xf numFmtId="2" fontId="40" fillId="3" borderId="0" xfId="709" applyNumberFormat="1" applyFill="1"/>
    <xf numFmtId="4" fontId="15" fillId="3" borderId="0" xfId="0" applyNumberFormat="1" applyFont="1" applyFill="1"/>
    <xf numFmtId="0" fontId="14" fillId="4" borderId="23" xfId="0" applyFont="1" applyFill="1" applyBorder="1" applyAlignment="1">
      <alignment horizontal="center" wrapText="1"/>
    </xf>
    <xf numFmtId="10" fontId="14" fillId="3" borderId="0" xfId="0" applyNumberFormat="1" applyFont="1" applyFill="1" applyAlignment="1">
      <alignment vertical="center"/>
    </xf>
    <xf numFmtId="10" fontId="14" fillId="3" borderId="0" xfId="0" applyNumberFormat="1" applyFont="1" applyFill="1" applyAlignment="1">
      <alignment horizontal="left" vertical="center"/>
    </xf>
    <xf numFmtId="0" fontId="34" fillId="3" borderId="0" xfId="0" applyFont="1" applyFill="1" applyAlignment="1">
      <alignment horizontal="center"/>
    </xf>
    <xf numFmtId="0" fontId="14" fillId="4" borderId="53" xfId="0" applyFont="1" applyFill="1" applyBorder="1" applyAlignment="1">
      <alignment vertical="center"/>
    </xf>
    <xf numFmtId="0" fontId="15" fillId="4" borderId="44" xfId="0" applyFont="1" applyFill="1" applyBorder="1" applyAlignment="1">
      <alignment horizontal="center"/>
    </xf>
    <xf numFmtId="0" fontId="39" fillId="0" borderId="0" xfId="709" applyFont="1" applyAlignment="1">
      <alignment wrapText="1"/>
    </xf>
    <xf numFmtId="0" fontId="15" fillId="4" borderId="1" xfId="0" applyFont="1" applyFill="1" applyBorder="1" applyAlignment="1">
      <alignment horizontal="left" vertical="center" wrapText="1" shrinkToFit="1"/>
    </xf>
    <xf numFmtId="0" fontId="15" fillId="4" borderId="10" xfId="0" applyFont="1" applyFill="1" applyBorder="1" applyAlignment="1">
      <alignment vertical="center" wrapText="1" shrinkToFit="1"/>
    </xf>
    <xf numFmtId="4" fontId="15" fillId="0" borderId="62" xfId="0" applyNumberFormat="1" applyFont="1" applyBorder="1" applyAlignment="1">
      <alignment horizontal="center" vertical="center"/>
    </xf>
    <xf numFmtId="3" fontId="15" fillId="0" borderId="62" xfId="0" quotePrefix="1" applyNumberFormat="1" applyFont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4" fontId="33" fillId="0" borderId="62" xfId="0" applyNumberFormat="1" applyFont="1" applyBorder="1" applyAlignment="1">
      <alignment horizontal="center"/>
    </xf>
    <xf numFmtId="4" fontId="33" fillId="0" borderId="46" xfId="0" applyNumberFormat="1" applyFont="1" applyBorder="1" applyAlignment="1">
      <alignment horizontal="center"/>
    </xf>
    <xf numFmtId="4" fontId="33" fillId="0" borderId="43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4" fontId="33" fillId="0" borderId="24" xfId="0" applyNumberFormat="1" applyFont="1" applyBorder="1" applyAlignment="1">
      <alignment horizontal="center"/>
    </xf>
    <xf numFmtId="4" fontId="15" fillId="0" borderId="40" xfId="0" applyNumberFormat="1" applyFont="1" applyBorder="1" applyAlignment="1">
      <alignment horizontal="center"/>
    </xf>
    <xf numFmtId="0" fontId="34" fillId="6" borderId="41" xfId="0" applyFont="1" applyFill="1" applyBorder="1" applyAlignment="1">
      <alignment horizontal="center" vertical="center"/>
    </xf>
    <xf numFmtId="3" fontId="34" fillId="6" borderId="52" xfId="0" applyNumberFormat="1" applyFont="1" applyFill="1" applyBorder="1" applyAlignment="1">
      <alignment horizontal="center" vertical="center"/>
    </xf>
    <xf numFmtId="4" fontId="34" fillId="6" borderId="53" xfId="0" applyNumberFormat="1" applyFont="1" applyFill="1" applyBorder="1" applyAlignment="1">
      <alignment horizontal="center" vertical="center"/>
    </xf>
    <xf numFmtId="0" fontId="14" fillId="4" borderId="67" xfId="0" applyFont="1" applyFill="1" applyBorder="1" applyAlignment="1">
      <alignment horizontal="center" vertical="center"/>
    </xf>
    <xf numFmtId="3" fontId="14" fillId="4" borderId="41" xfId="0" applyNumberFormat="1" applyFont="1" applyFill="1" applyBorder="1" applyAlignment="1">
      <alignment horizontal="center" vertical="center"/>
    </xf>
    <xf numFmtId="4" fontId="14" fillId="4" borderId="41" xfId="0" applyNumberFormat="1" applyFont="1" applyFill="1" applyBorder="1" applyAlignment="1">
      <alignment horizontal="center" vertical="center"/>
    </xf>
    <xf numFmtId="0" fontId="48" fillId="4" borderId="62" xfId="709" applyFont="1" applyFill="1" applyBorder="1" applyAlignment="1">
      <alignment horizontal="center" vertical="top" wrapText="1"/>
    </xf>
    <xf numFmtId="0" fontId="48" fillId="4" borderId="2" xfId="709" applyFont="1" applyFill="1" applyBorder="1" applyAlignment="1">
      <alignment horizontal="center" vertical="top" wrapText="1"/>
    </xf>
    <xf numFmtId="0" fontId="48" fillId="4" borderId="45" xfId="709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4" fontId="12" fillId="4" borderId="9" xfId="0" applyNumberFormat="1" applyFont="1" applyFill="1" applyBorder="1" applyAlignment="1">
      <alignment horizontal="center"/>
    </xf>
    <xf numFmtId="14" fontId="12" fillId="4" borderId="11" xfId="0" applyNumberFormat="1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14" fontId="12" fillId="4" borderId="36" xfId="0" applyNumberFormat="1" applyFont="1" applyFill="1" applyBorder="1" applyAlignment="1">
      <alignment horizontal="center"/>
    </xf>
    <xf numFmtId="0" fontId="42" fillId="4" borderId="62" xfId="709" applyFont="1" applyFill="1" applyBorder="1" applyAlignment="1">
      <alignment horizontal="center" vertical="center" wrapText="1"/>
    </xf>
    <xf numFmtId="0" fontId="42" fillId="4" borderId="2" xfId="709" applyFont="1" applyFill="1" applyBorder="1" applyAlignment="1">
      <alignment horizontal="center" vertical="center" wrapText="1"/>
    </xf>
    <xf numFmtId="0" fontId="42" fillId="4" borderId="45" xfId="709" applyFont="1" applyFill="1" applyBorder="1" applyAlignment="1">
      <alignment horizontal="center" vertical="center" wrapText="1"/>
    </xf>
    <xf numFmtId="0" fontId="42" fillId="4" borderId="13" xfId="709" applyFont="1" applyFill="1" applyBorder="1" applyAlignment="1">
      <alignment horizontal="center" vertical="center" wrapText="1"/>
    </xf>
    <xf numFmtId="0" fontId="42" fillId="4" borderId="34" xfId="709" applyFont="1" applyFill="1" applyBorder="1" applyAlignment="1">
      <alignment horizontal="center" vertical="center" wrapText="1"/>
    </xf>
    <xf numFmtId="0" fontId="42" fillId="4" borderId="46" xfId="709" applyFont="1" applyFill="1" applyBorder="1" applyAlignment="1">
      <alignment horizontal="center" vertical="center" wrapText="1"/>
    </xf>
    <xf numFmtId="10" fontId="42" fillId="4" borderId="46" xfId="774" applyNumberFormat="1" applyFont="1" applyFill="1" applyBorder="1" applyAlignment="1">
      <alignment horizontal="center" vertical="center"/>
    </xf>
    <xf numFmtId="2" fontId="15" fillId="3" borderId="57" xfId="0" applyNumberFormat="1" applyFont="1" applyFill="1" applyBorder="1" applyAlignment="1">
      <alignment horizontal="center" vertical="center" wrapText="1"/>
    </xf>
    <xf numFmtId="4" fontId="39" fillId="3" borderId="46" xfId="709" applyNumberFormat="1" applyFont="1" applyFill="1" applyBorder="1" applyAlignment="1">
      <alignment horizontal="center" vertical="center"/>
    </xf>
    <xf numFmtId="4" fontId="39" fillId="3" borderId="50" xfId="709" applyNumberFormat="1" applyFont="1" applyFill="1" applyBorder="1" applyAlignment="1">
      <alignment horizontal="center" vertical="center"/>
    </xf>
    <xf numFmtId="4" fontId="39" fillId="3" borderId="49" xfId="709" applyNumberFormat="1" applyFont="1" applyFill="1" applyBorder="1" applyAlignment="1">
      <alignment horizontal="center" vertical="center"/>
    </xf>
    <xf numFmtId="0" fontId="39" fillId="4" borderId="49" xfId="709" applyFont="1" applyFill="1" applyBorder="1" applyAlignment="1">
      <alignment horizontal="center"/>
    </xf>
    <xf numFmtId="4" fontId="39" fillId="0" borderId="47" xfId="709" applyNumberFormat="1" applyFont="1" applyBorder="1" applyAlignment="1">
      <alignment horizontal="center"/>
    </xf>
    <xf numFmtId="0" fontId="39" fillId="4" borderId="50" xfId="709" applyFont="1" applyFill="1" applyBorder="1" applyAlignment="1">
      <alignment horizontal="center"/>
    </xf>
    <xf numFmtId="4" fontId="39" fillId="0" borderId="48" xfId="709" applyNumberFormat="1" applyFont="1" applyBorder="1" applyAlignment="1">
      <alignment horizontal="center"/>
    </xf>
    <xf numFmtId="4" fontId="39" fillId="3" borderId="43" xfId="709" applyNumberFormat="1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vertical="center"/>
    </xf>
    <xf numFmtId="0" fontId="11" fillId="4" borderId="52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4" fontId="40" fillId="0" borderId="50" xfId="0" applyNumberFormat="1" applyFont="1" applyBorder="1" applyAlignment="1">
      <alignment horizontal="center"/>
    </xf>
    <xf numFmtId="4" fontId="40" fillId="0" borderId="46" xfId="773" applyNumberFormat="1" applyFont="1" applyBorder="1" applyAlignment="1">
      <alignment horizontal="center" vertical="center" wrapText="1"/>
    </xf>
    <xf numFmtId="4" fontId="39" fillId="0" borderId="46" xfId="773" applyNumberFormat="1" applyFont="1" applyBorder="1" applyAlignment="1">
      <alignment horizontal="center" vertical="center" wrapText="1"/>
    </xf>
    <xf numFmtId="4" fontId="39" fillId="0" borderId="43" xfId="773" applyNumberFormat="1" applyFont="1" applyBorder="1" applyAlignment="1">
      <alignment horizontal="center" vertical="center" wrapText="1"/>
    </xf>
    <xf numFmtId="4" fontId="39" fillId="3" borderId="48" xfId="773" applyNumberFormat="1" applyFont="1" applyFill="1" applyBorder="1" applyAlignment="1">
      <alignment horizontal="center" wrapText="1"/>
    </xf>
    <xf numFmtId="4" fontId="39" fillId="3" borderId="50" xfId="773" applyNumberFormat="1" applyFont="1" applyFill="1" applyBorder="1" applyAlignment="1">
      <alignment horizontal="center" wrapText="1"/>
    </xf>
    <xf numFmtId="4" fontId="39" fillId="3" borderId="36" xfId="773" applyNumberFormat="1" applyFont="1" applyFill="1" applyBorder="1" applyAlignment="1">
      <alignment horizontal="center" wrapText="1"/>
    </xf>
    <xf numFmtId="0" fontId="15" fillId="3" borderId="0" xfId="0" applyFont="1" applyFill="1" applyAlignment="1">
      <alignment horizontal="left" vertical="center"/>
    </xf>
    <xf numFmtId="0" fontId="55" fillId="4" borderId="23" xfId="709" applyFont="1" applyFill="1" applyBorder="1"/>
    <xf numFmtId="0" fontId="39" fillId="4" borderId="0" xfId="709" applyFont="1" applyFill="1"/>
    <xf numFmtId="2" fontId="13" fillId="3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7" fillId="2" borderId="58" xfId="0" applyFont="1" applyFill="1" applyBorder="1" applyAlignment="1">
      <alignment vertical="center" wrapText="1"/>
    </xf>
    <xf numFmtId="0" fontId="27" fillId="2" borderId="31" xfId="0" applyFont="1" applyFill="1" applyBorder="1" applyAlignment="1">
      <alignment vertical="center" wrapText="1"/>
    </xf>
    <xf numFmtId="0" fontId="55" fillId="4" borderId="52" xfId="709" applyFont="1" applyFill="1" applyBorder="1"/>
    <xf numFmtId="0" fontId="39" fillId="2" borderId="14" xfId="709" applyFont="1" applyFill="1" applyBorder="1"/>
    <xf numFmtId="0" fontId="39" fillId="2" borderId="47" xfId="709" applyFont="1" applyFill="1" applyBorder="1"/>
    <xf numFmtId="0" fontId="39" fillId="2" borderId="48" xfId="709" applyFont="1" applyFill="1" applyBorder="1"/>
    <xf numFmtId="0" fontId="39" fillId="2" borderId="14" xfId="709" applyFont="1" applyFill="1" applyBorder="1" applyAlignment="1">
      <alignment wrapText="1"/>
    </xf>
    <xf numFmtId="0" fontId="39" fillId="4" borderId="47" xfId="709" applyFont="1" applyFill="1" applyBorder="1"/>
    <xf numFmtId="0" fontId="13" fillId="3" borderId="23" xfId="0" applyFont="1" applyFill="1" applyBorder="1" applyAlignment="1">
      <alignment horizontal="left"/>
    </xf>
    <xf numFmtId="0" fontId="13" fillId="3" borderId="23" xfId="0" applyFont="1" applyFill="1" applyBorder="1" applyAlignment="1">
      <alignment horizontal="center"/>
    </xf>
    <xf numFmtId="4" fontId="13" fillId="3" borderId="23" xfId="0" applyNumberFormat="1" applyFont="1" applyFill="1" applyBorder="1" applyAlignment="1">
      <alignment horizontal="center" vertical="center"/>
    </xf>
    <xf numFmtId="4" fontId="13" fillId="3" borderId="17" xfId="0" applyNumberFormat="1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/>
    </xf>
    <xf numFmtId="0" fontId="13" fillId="3" borderId="24" xfId="0" applyFont="1" applyFill="1" applyBorder="1"/>
    <xf numFmtId="0" fontId="13" fillId="3" borderId="22" xfId="0" applyFont="1" applyFill="1" applyBorder="1"/>
    <xf numFmtId="0" fontId="0" fillId="0" borderId="18" xfId="0" applyBorder="1"/>
    <xf numFmtId="0" fontId="12" fillId="3" borderId="23" xfId="0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75" xfId="0" applyBorder="1" applyAlignment="1">
      <alignment horizontal="center"/>
    </xf>
    <xf numFmtId="0" fontId="13" fillId="3" borderId="0" xfId="0" applyFont="1" applyFill="1" applyAlignment="1">
      <alignment horizontal="left"/>
    </xf>
    <xf numFmtId="4" fontId="15" fillId="0" borderId="22" xfId="0" applyNumberFormat="1" applyFont="1" applyBorder="1" applyAlignment="1">
      <alignment horizontal="center"/>
    </xf>
    <xf numFmtId="0" fontId="48" fillId="0" borderId="0" xfId="709" applyFont="1" applyAlignment="1">
      <alignment horizontal="center"/>
    </xf>
    <xf numFmtId="0" fontId="61" fillId="2" borderId="63" xfId="0" applyFont="1" applyFill="1" applyBorder="1" applyAlignment="1">
      <alignment horizontal="center" vertical="center"/>
    </xf>
    <xf numFmtId="0" fontId="61" fillId="2" borderId="63" xfId="0" applyFont="1" applyFill="1" applyBorder="1" applyAlignment="1">
      <alignment horizontal="center" vertical="center" wrapText="1"/>
    </xf>
    <xf numFmtId="0" fontId="61" fillId="2" borderId="77" xfId="0" applyFont="1" applyFill="1" applyBorder="1" applyAlignment="1">
      <alignment horizontal="center" vertical="center" wrapText="1"/>
    </xf>
    <xf numFmtId="0" fontId="54" fillId="4" borderId="34" xfId="709" applyFont="1" applyFill="1" applyBorder="1" applyAlignment="1">
      <alignment horizontal="center" vertical="center" wrapText="1"/>
    </xf>
    <xf numFmtId="0" fontId="54" fillId="4" borderId="46" xfId="709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vertical="center" wrapText="1" shrinkToFit="1"/>
    </xf>
    <xf numFmtId="0" fontId="15" fillId="4" borderId="15" xfId="0" applyFont="1" applyFill="1" applyBorder="1" applyAlignment="1">
      <alignment vertical="center" wrapText="1" shrinkToFit="1"/>
    </xf>
    <xf numFmtId="14" fontId="15" fillId="3" borderId="0" xfId="0" applyNumberFormat="1" applyFont="1" applyFill="1" applyAlignment="1">
      <alignment horizontal="left" vertical="top" wrapText="1"/>
    </xf>
    <xf numFmtId="4" fontId="15" fillId="0" borderId="45" xfId="0" applyNumberFormat="1" applyFont="1" applyBorder="1" applyAlignment="1">
      <alignment horizontal="center"/>
    </xf>
    <xf numFmtId="0" fontId="15" fillId="3" borderId="56" xfId="0" applyFont="1" applyFill="1" applyBorder="1" applyAlignment="1">
      <alignment horizontal="left"/>
    </xf>
    <xf numFmtId="0" fontId="15" fillId="3" borderId="48" xfId="0" applyFont="1" applyFill="1" applyBorder="1" applyAlignment="1">
      <alignment horizontal="left"/>
    </xf>
    <xf numFmtId="0" fontId="15" fillId="3" borderId="36" xfId="0" applyFont="1" applyFill="1" applyBorder="1" applyAlignment="1">
      <alignment horizontal="left"/>
    </xf>
    <xf numFmtId="0" fontId="15" fillId="4" borderId="22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53" fillId="3" borderId="23" xfId="0" applyFont="1" applyFill="1" applyBorder="1" applyAlignment="1">
      <alignment horizontal="left"/>
    </xf>
    <xf numFmtId="0" fontId="34" fillId="0" borderId="1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4" fontId="15" fillId="3" borderId="19" xfId="0" applyNumberFormat="1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top" wrapText="1"/>
    </xf>
    <xf numFmtId="0" fontId="4" fillId="0" borderId="20" xfId="0" applyFont="1" applyBorder="1"/>
    <xf numFmtId="3" fontId="15" fillId="0" borderId="26" xfId="0" applyNumberFormat="1" applyFont="1" applyBorder="1"/>
    <xf numFmtId="164" fontId="15" fillId="0" borderId="6" xfId="80" applyFont="1" applyBorder="1"/>
    <xf numFmtId="14" fontId="14" fillId="4" borderId="31" xfId="0" applyNumberFormat="1" applyFont="1" applyFill="1" applyBorder="1" applyAlignment="1">
      <alignment horizontal="center"/>
    </xf>
    <xf numFmtId="0" fontId="50" fillId="3" borderId="0" xfId="709" applyFont="1" applyFill="1" applyAlignment="1">
      <alignment horizontal="center" wrapText="1"/>
    </xf>
    <xf numFmtId="0" fontId="50" fillId="3" borderId="24" xfId="709" applyFont="1" applyFill="1" applyBorder="1" applyAlignment="1">
      <alignment horizontal="center" wrapText="1"/>
    </xf>
    <xf numFmtId="168" fontId="39" fillId="3" borderId="0" xfId="773" applyFont="1" applyFill="1"/>
    <xf numFmtId="14" fontId="12" fillId="4" borderId="64" xfId="0" applyNumberFormat="1" applyFont="1" applyFill="1" applyBorder="1" applyAlignment="1">
      <alignment horizontal="center"/>
    </xf>
    <xf numFmtId="0" fontId="12" fillId="4" borderId="58" xfId="0" applyFont="1" applyFill="1" applyBorder="1" applyAlignment="1">
      <alignment horizontal="center"/>
    </xf>
    <xf numFmtId="0" fontId="12" fillId="4" borderId="59" xfId="0" applyFont="1" applyFill="1" applyBorder="1" applyAlignment="1">
      <alignment horizontal="center"/>
    </xf>
    <xf numFmtId="14" fontId="12" fillId="4" borderId="31" xfId="0" applyNumberFormat="1" applyFont="1" applyFill="1" applyBorder="1" applyAlignment="1">
      <alignment horizontal="center"/>
    </xf>
    <xf numFmtId="14" fontId="12" fillId="4" borderId="55" xfId="0" applyNumberFormat="1" applyFont="1" applyFill="1" applyBorder="1" applyAlignment="1">
      <alignment horizontal="center"/>
    </xf>
    <xf numFmtId="0" fontId="15" fillId="4" borderId="24" xfId="0" applyFont="1" applyFill="1" applyBorder="1" applyAlignment="1">
      <alignment vertical="center" wrapText="1" shrinkToFit="1"/>
    </xf>
    <xf numFmtId="0" fontId="15" fillId="4" borderId="22" xfId="0" applyFont="1" applyFill="1" applyBorder="1" applyAlignment="1">
      <alignment vertical="center" wrapText="1" shrinkToFit="1"/>
    </xf>
    <xf numFmtId="0" fontId="4" fillId="0" borderId="0" xfId="0" applyFont="1" applyAlignment="1">
      <alignment horizontal="center"/>
    </xf>
    <xf numFmtId="0" fontId="63" fillId="0" borderId="0" xfId="709" applyFont="1"/>
    <xf numFmtId="4" fontId="17" fillId="0" borderId="50" xfId="0" applyNumberFormat="1" applyFont="1" applyBorder="1" applyAlignment="1">
      <alignment horizontal="center"/>
    </xf>
    <xf numFmtId="4" fontId="17" fillId="0" borderId="49" xfId="0" applyNumberFormat="1" applyFont="1" applyBorder="1" applyAlignment="1">
      <alignment horizontal="center"/>
    </xf>
    <xf numFmtId="14" fontId="18" fillId="4" borderId="43" xfId="0" applyNumberFormat="1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vertical="center" wrapText="1"/>
    </xf>
    <xf numFmtId="0" fontId="15" fillId="4" borderId="55" xfId="0" applyFont="1" applyFill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44" xfId="0" applyNumberFormat="1" applyFont="1" applyBorder="1" applyAlignment="1">
      <alignment horizontal="center" vertical="center" wrapText="1"/>
    </xf>
    <xf numFmtId="4" fontId="13" fillId="0" borderId="56" xfId="0" applyNumberFormat="1" applyFont="1" applyBorder="1" applyAlignment="1">
      <alignment horizontal="center" vertical="center" wrapText="1"/>
    </xf>
    <xf numFmtId="4" fontId="40" fillId="0" borderId="0" xfId="0" applyNumberFormat="1" applyFont="1" applyAlignment="1">
      <alignment horizontal="center"/>
    </xf>
    <xf numFmtId="4" fontId="40" fillId="0" borderId="62" xfId="0" applyNumberFormat="1" applyFont="1" applyBorder="1" applyAlignment="1">
      <alignment horizontal="center" vertical="center" wrapText="1"/>
    </xf>
    <xf numFmtId="4" fontId="40" fillId="0" borderId="49" xfId="0" applyNumberFormat="1" applyFont="1" applyBorder="1" applyAlignment="1">
      <alignment horizontal="center" vertical="center" wrapText="1"/>
    </xf>
    <xf numFmtId="4" fontId="40" fillId="0" borderId="50" xfId="0" applyNumberFormat="1" applyFont="1" applyBorder="1" applyAlignment="1">
      <alignment horizontal="center" vertical="center" wrapText="1"/>
    </xf>
    <xf numFmtId="0" fontId="64" fillId="0" borderId="46" xfId="709" applyFont="1" applyBorder="1" applyAlignment="1">
      <alignment horizontal="center" vertical="top" wrapText="1"/>
    </xf>
    <xf numFmtId="168" fontId="63" fillId="0" borderId="46" xfId="773" applyFont="1" applyBorder="1" applyAlignment="1">
      <alignment horizontal="center" wrapText="1"/>
    </xf>
    <xf numFmtId="168" fontId="63" fillId="0" borderId="49" xfId="773" applyFont="1" applyBorder="1" applyAlignment="1">
      <alignment horizontal="center" wrapText="1"/>
    </xf>
    <xf numFmtId="168" fontId="63" fillId="0" borderId="62" xfId="773" applyFont="1" applyBorder="1" applyAlignment="1">
      <alignment horizontal="center" wrapText="1"/>
    </xf>
    <xf numFmtId="168" fontId="63" fillId="0" borderId="27" xfId="773" applyFont="1" applyBorder="1" applyAlignment="1">
      <alignment horizontal="center" wrapText="1"/>
    </xf>
    <xf numFmtId="0" fontId="63" fillId="0" borderId="50" xfId="709" applyFont="1" applyBorder="1" applyAlignment="1">
      <alignment horizontal="center"/>
    </xf>
    <xf numFmtId="14" fontId="18" fillId="4" borderId="22" xfId="0" applyNumberFormat="1" applyFont="1" applyFill="1" applyBorder="1" applyAlignment="1">
      <alignment horizontal="center"/>
    </xf>
    <xf numFmtId="2" fontId="17" fillId="0" borderId="36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0" fontId="67" fillId="9" borderId="4" xfId="709" applyFont="1" applyFill="1" applyBorder="1" applyAlignment="1">
      <alignment horizontal="center" vertical="top" wrapText="1"/>
    </xf>
    <xf numFmtId="0" fontId="67" fillId="9" borderId="26" xfId="709" applyFont="1" applyFill="1" applyBorder="1" applyAlignment="1">
      <alignment horizontal="center" vertical="top" wrapText="1"/>
    </xf>
    <xf numFmtId="0" fontId="67" fillId="9" borderId="15" xfId="709" applyFont="1" applyFill="1" applyBorder="1" applyAlignment="1">
      <alignment horizontal="center" vertical="top" wrapText="1"/>
    </xf>
    <xf numFmtId="168" fontId="63" fillId="0" borderId="4" xfId="773" applyFont="1" applyBorder="1" applyAlignment="1">
      <alignment horizontal="justify" wrapText="1"/>
    </xf>
    <xf numFmtId="168" fontId="63" fillId="0" borderId="26" xfId="773" applyFont="1" applyBorder="1" applyAlignment="1">
      <alignment horizontal="justify" wrapText="1"/>
    </xf>
    <xf numFmtId="168" fontId="63" fillId="0" borderId="15" xfId="773" applyFont="1" applyBorder="1" applyAlignment="1">
      <alignment horizontal="justify" wrapText="1"/>
    </xf>
    <xf numFmtId="168" fontId="63" fillId="0" borderId="31" xfId="773" applyFont="1" applyBorder="1" applyAlignment="1">
      <alignment horizontal="justify" wrapText="1"/>
    </xf>
    <xf numFmtId="168" fontId="63" fillId="0" borderId="32" xfId="773" applyFont="1" applyBorder="1" applyAlignment="1">
      <alignment horizontal="justify" wrapText="1"/>
    </xf>
    <xf numFmtId="168" fontId="63" fillId="0" borderId="22" xfId="773" applyFont="1" applyBorder="1" applyAlignment="1">
      <alignment horizontal="justify" wrapText="1"/>
    </xf>
    <xf numFmtId="0" fontId="63" fillId="0" borderId="0" xfId="709" applyFont="1" applyAlignment="1">
      <alignment horizontal="center"/>
    </xf>
    <xf numFmtId="168" fontId="63" fillId="0" borderId="0" xfId="773" applyFont="1" applyBorder="1" applyAlignment="1">
      <alignment horizontal="justify" wrapText="1"/>
    </xf>
    <xf numFmtId="0" fontId="66" fillId="0" borderId="0" xfId="709" applyFont="1"/>
    <xf numFmtId="0" fontId="4" fillId="0" borderId="19" xfId="0" applyFont="1" applyBorder="1" applyAlignment="1">
      <alignment horizontal="center"/>
    </xf>
    <xf numFmtId="0" fontId="15" fillId="3" borderId="27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 wrapText="1"/>
    </xf>
    <xf numFmtId="0" fontId="18" fillId="0" borderId="0" xfId="0" applyFont="1"/>
    <xf numFmtId="14" fontId="25" fillId="3" borderId="0" xfId="0" applyNumberFormat="1" applyFont="1" applyFill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wrapText="1"/>
    </xf>
    <xf numFmtId="0" fontId="12" fillId="4" borderId="59" xfId="0" applyFont="1" applyFill="1" applyBorder="1" applyAlignment="1">
      <alignment horizontal="center" vertical="center"/>
    </xf>
    <xf numFmtId="0" fontId="14" fillId="4" borderId="58" xfId="0" applyFont="1" applyFill="1" applyBorder="1" applyAlignment="1">
      <alignment horizontal="center" wrapText="1"/>
    </xf>
    <xf numFmtId="0" fontId="12" fillId="4" borderId="60" xfId="0" applyFont="1" applyFill="1" applyBorder="1" applyAlignment="1">
      <alignment horizontal="center" wrapText="1"/>
    </xf>
    <xf numFmtId="0" fontId="14" fillId="4" borderId="64" xfId="0" applyFont="1" applyFill="1" applyBorder="1" applyAlignment="1">
      <alignment horizontal="center" wrapText="1"/>
    </xf>
    <xf numFmtId="49" fontId="0" fillId="0" borderId="0" xfId="0" applyNumberFormat="1"/>
    <xf numFmtId="49" fontId="14" fillId="4" borderId="55" xfId="0" applyNumberFormat="1" applyFont="1" applyFill="1" applyBorder="1" applyAlignment="1">
      <alignment horizontal="center"/>
    </xf>
    <xf numFmtId="4" fontId="40" fillId="0" borderId="49" xfId="709" applyNumberFormat="1" applyBorder="1" applyAlignment="1">
      <alignment horizontal="center" vertical="center" wrapText="1"/>
    </xf>
    <xf numFmtId="4" fontId="40" fillId="0" borderId="49" xfId="773" applyNumberFormat="1" applyFont="1" applyBorder="1" applyAlignment="1">
      <alignment horizontal="center" vertical="center" wrapText="1"/>
    </xf>
    <xf numFmtId="4" fontId="40" fillId="0" borderId="50" xfId="773" applyNumberFormat="1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/>
    </xf>
    <xf numFmtId="14" fontId="14" fillId="4" borderId="21" xfId="0" applyNumberFormat="1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wrapText="1"/>
    </xf>
    <xf numFmtId="14" fontId="14" fillId="4" borderId="21" xfId="0" applyNumberFormat="1" applyFont="1" applyFill="1" applyBorder="1" applyAlignment="1">
      <alignment vertical="center" wrapText="1"/>
    </xf>
    <xf numFmtId="14" fontId="14" fillId="4" borderId="22" xfId="0" applyNumberFormat="1" applyFont="1" applyFill="1" applyBorder="1" applyAlignment="1">
      <alignment vertical="center" wrapText="1"/>
    </xf>
    <xf numFmtId="0" fontId="14" fillId="4" borderId="41" xfId="0" applyFont="1" applyFill="1" applyBorder="1" applyAlignment="1">
      <alignment horizontal="center" wrapText="1"/>
    </xf>
    <xf numFmtId="3" fontId="15" fillId="0" borderId="49" xfId="0" quotePrefix="1" applyNumberFormat="1" applyFont="1" applyBorder="1" applyAlignment="1">
      <alignment horizontal="center" vertical="center"/>
    </xf>
    <xf numFmtId="3" fontId="15" fillId="0" borderId="50" xfId="0" quotePrefix="1" applyNumberFormat="1" applyFont="1" applyBorder="1" applyAlignment="1">
      <alignment horizontal="center" vertical="center"/>
    </xf>
    <xf numFmtId="4" fontId="15" fillId="0" borderId="49" xfId="0" applyNumberFormat="1" applyFont="1" applyBorder="1" applyAlignment="1">
      <alignment horizontal="center" vertical="center"/>
    </xf>
    <xf numFmtId="4" fontId="15" fillId="0" borderId="50" xfId="0" applyNumberFormat="1" applyFont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wrapText="1"/>
    </xf>
    <xf numFmtId="0" fontId="4" fillId="3" borderId="0" xfId="0" applyFont="1" applyFill="1" applyProtection="1">
      <protection locked="0"/>
    </xf>
    <xf numFmtId="0" fontId="15" fillId="3" borderId="0" xfId="0" applyFont="1" applyFill="1" applyAlignment="1" applyProtection="1">
      <alignment horizontal="left"/>
      <protection locked="0"/>
    </xf>
    <xf numFmtId="14" fontId="15" fillId="3" borderId="0" xfId="0" applyNumberFormat="1" applyFont="1" applyFill="1" applyProtection="1">
      <protection locked="0"/>
    </xf>
    <xf numFmtId="0" fontId="64" fillId="0" borderId="62" xfId="709" applyFont="1" applyBorder="1" applyAlignment="1">
      <alignment horizontal="center" wrapText="1"/>
    </xf>
    <xf numFmtId="0" fontId="43" fillId="0" borderId="0" xfId="709" applyFont="1" applyProtection="1">
      <protection locked="0"/>
    </xf>
    <xf numFmtId="0" fontId="14" fillId="4" borderId="19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7" fillId="4" borderId="47" xfId="0" applyFont="1" applyFill="1" applyBorder="1" applyAlignment="1">
      <alignment horizontal="left" wrapText="1" shrinkToFit="1"/>
    </xf>
    <xf numFmtId="0" fontId="18" fillId="3" borderId="23" xfId="0" applyFont="1" applyFill="1" applyBorder="1" applyAlignment="1">
      <alignment horizontal="center" vertical="center"/>
    </xf>
    <xf numFmtId="0" fontId="63" fillId="4" borderId="47" xfId="709" applyFont="1" applyFill="1" applyBorder="1"/>
    <xf numFmtId="0" fontId="63" fillId="4" borderId="48" xfId="709" applyFont="1" applyFill="1" applyBorder="1"/>
    <xf numFmtId="0" fontId="17" fillId="4" borderId="21" xfId="0" applyFont="1" applyFill="1" applyBorder="1" applyAlignment="1">
      <alignment vertical="center" wrapText="1" shrinkToFit="1"/>
    </xf>
    <xf numFmtId="0" fontId="17" fillId="4" borderId="24" xfId="0" applyFont="1" applyFill="1" applyBorder="1" applyAlignment="1">
      <alignment vertical="center" wrapText="1" shrinkToFit="1"/>
    </xf>
    <xf numFmtId="0" fontId="17" fillId="4" borderId="16" xfId="0" applyFont="1" applyFill="1" applyBorder="1" applyAlignment="1">
      <alignment vertical="center" wrapText="1" shrinkToFit="1"/>
    </xf>
    <xf numFmtId="0" fontId="17" fillId="4" borderId="23" xfId="0" applyFont="1" applyFill="1" applyBorder="1" applyAlignment="1">
      <alignment vertical="center" wrapText="1" shrinkToFit="1"/>
    </xf>
    <xf numFmtId="0" fontId="18" fillId="4" borderId="20" xfId="0" applyFont="1" applyFill="1" applyBorder="1" applyAlignment="1">
      <alignment horizontal="center"/>
    </xf>
    <xf numFmtId="0" fontId="18" fillId="4" borderId="42" xfId="0" applyFont="1" applyFill="1" applyBorder="1" applyAlignment="1">
      <alignment horizontal="center"/>
    </xf>
    <xf numFmtId="4" fontId="17" fillId="3" borderId="43" xfId="0" applyNumberFormat="1" applyFont="1" applyFill="1" applyBorder="1" applyAlignment="1">
      <alignment horizontal="center" vertical="center"/>
    </xf>
    <xf numFmtId="0" fontId="37" fillId="3" borderId="0" xfId="709" applyFont="1" applyFill="1"/>
    <xf numFmtId="10" fontId="54" fillId="4" borderId="62" xfId="774" applyNumberFormat="1" applyFont="1" applyFill="1" applyBorder="1" applyAlignment="1">
      <alignment horizontal="center" vertical="center"/>
    </xf>
    <xf numFmtId="168" fontId="63" fillId="0" borderId="43" xfId="773" applyFont="1" applyBorder="1" applyAlignment="1">
      <alignment horizontal="center" vertical="center" wrapText="1"/>
    </xf>
    <xf numFmtId="10" fontId="68" fillId="4" borderId="55" xfId="774" applyNumberFormat="1" applyFont="1" applyFill="1" applyBorder="1" applyAlignment="1">
      <alignment horizontal="center" vertical="center" wrapText="1"/>
    </xf>
    <xf numFmtId="0" fontId="54" fillId="4" borderId="62" xfId="709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4" fillId="4" borderId="23" xfId="0" applyNumberFormat="1" applyFont="1" applyFill="1" applyBorder="1" applyAlignment="1">
      <alignment horizontal="left" vertical="center"/>
    </xf>
    <xf numFmtId="10" fontId="14" fillId="4" borderId="17" xfId="0" applyNumberFormat="1" applyFont="1" applyFill="1" applyBorder="1" applyAlignment="1">
      <alignment vertical="center"/>
    </xf>
    <xf numFmtId="0" fontId="27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76" xfId="0" applyBorder="1" applyAlignment="1">
      <alignment horizontal="center"/>
    </xf>
    <xf numFmtId="14" fontId="13" fillId="0" borderId="7" xfId="0" applyNumberFormat="1" applyFont="1" applyBorder="1" applyAlignment="1">
      <alignment horizontal="center"/>
    </xf>
    <xf numFmtId="0" fontId="13" fillId="0" borderId="8" xfId="0" applyFont="1" applyBorder="1"/>
    <xf numFmtId="164" fontId="40" fillId="0" borderId="44" xfId="80" applyFont="1" applyBorder="1" applyAlignment="1">
      <alignment vertical="center" wrapText="1"/>
    </xf>
    <xf numFmtId="3" fontId="15" fillId="3" borderId="5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14" fontId="15" fillId="4" borderId="44" xfId="0" applyNumberFormat="1" applyFont="1" applyFill="1" applyBorder="1" applyAlignment="1">
      <alignment horizontal="center"/>
    </xf>
    <xf numFmtId="14" fontId="15" fillId="4" borderId="56" xfId="0" applyNumberFormat="1" applyFont="1" applyFill="1" applyBorder="1" applyAlignment="1">
      <alignment horizontal="center"/>
    </xf>
    <xf numFmtId="14" fontId="15" fillId="4" borderId="49" xfId="0" applyNumberFormat="1" applyFont="1" applyFill="1" applyBorder="1" applyAlignment="1">
      <alignment horizontal="center"/>
    </xf>
    <xf numFmtId="14" fontId="15" fillId="4" borderId="50" xfId="0" applyNumberFormat="1" applyFont="1" applyFill="1" applyBorder="1" applyAlignment="1">
      <alignment horizontal="center"/>
    </xf>
    <xf numFmtId="14" fontId="14" fillId="4" borderId="43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0" xfId="0" applyFont="1"/>
    <xf numFmtId="0" fontId="70" fillId="3" borderId="0" xfId="0" applyFont="1" applyFill="1"/>
    <xf numFmtId="0" fontId="17" fillId="4" borderId="22" xfId="0" applyFont="1" applyFill="1" applyBorder="1" applyAlignment="1">
      <alignment horizontal="center" vertical="center"/>
    </xf>
    <xf numFmtId="4" fontId="40" fillId="0" borderId="68" xfId="773" applyNumberFormat="1" applyFont="1" applyBorder="1" applyAlignment="1">
      <alignment horizontal="center" vertical="center" wrapText="1"/>
    </xf>
    <xf numFmtId="164" fontId="40" fillId="0" borderId="1" xfId="80" applyFont="1" applyBorder="1" applyAlignment="1">
      <alignment vertical="center" wrapText="1"/>
    </xf>
    <xf numFmtId="4" fontId="40" fillId="0" borderId="1" xfId="773" applyNumberFormat="1" applyFont="1" applyBorder="1" applyAlignment="1">
      <alignment horizontal="center" vertical="center" wrapText="1"/>
    </xf>
    <xf numFmtId="4" fontId="40" fillId="0" borderId="10" xfId="773" applyNumberFormat="1" applyFont="1" applyBorder="1" applyAlignment="1">
      <alignment horizontal="center" vertical="center" wrapText="1"/>
    </xf>
    <xf numFmtId="164" fontId="40" fillId="0" borderId="10" xfId="80" applyFont="1" applyBorder="1" applyAlignment="1">
      <alignment vertical="center" wrapText="1"/>
    </xf>
    <xf numFmtId="0" fontId="40" fillId="4" borderId="44" xfId="709" applyFill="1" applyBorder="1" applyAlignment="1">
      <alignment horizontal="center" vertical="center" wrapText="1"/>
    </xf>
    <xf numFmtId="4" fontId="40" fillId="0" borderId="7" xfId="773" applyNumberFormat="1" applyFont="1" applyBorder="1" applyAlignment="1">
      <alignment horizontal="center" vertical="center" wrapText="1"/>
    </xf>
    <xf numFmtId="4" fontId="40" fillId="0" borderId="8" xfId="773" applyNumberFormat="1" applyFont="1" applyBorder="1" applyAlignment="1">
      <alignment horizontal="center" vertical="center" wrapText="1"/>
    </xf>
    <xf numFmtId="4" fontId="40" fillId="0" borderId="9" xfId="773" applyNumberFormat="1" applyFont="1" applyBorder="1" applyAlignment="1">
      <alignment horizontal="center" vertical="center" wrapText="1"/>
    </xf>
    <xf numFmtId="4" fontId="40" fillId="3" borderId="9" xfId="773" applyNumberFormat="1" applyFont="1" applyFill="1" applyBorder="1" applyAlignment="1">
      <alignment horizontal="center" vertical="center" wrapText="1"/>
    </xf>
    <xf numFmtId="4" fontId="40" fillId="3" borderId="10" xfId="773" applyNumberFormat="1" applyFont="1" applyFill="1" applyBorder="1" applyAlignment="1">
      <alignment horizontal="center" vertical="center" wrapText="1"/>
    </xf>
    <xf numFmtId="4" fontId="40" fillId="3" borderId="11" xfId="773" applyNumberFormat="1" applyFont="1" applyFill="1" applyBorder="1" applyAlignment="1">
      <alignment horizontal="center" vertical="center" wrapText="1"/>
    </xf>
    <xf numFmtId="164" fontId="40" fillId="3" borderId="10" xfId="80" applyFont="1" applyFill="1" applyBorder="1" applyAlignment="1">
      <alignment vertical="center" wrapText="1"/>
    </xf>
    <xf numFmtId="4" fontId="40" fillId="3" borderId="0" xfId="773" applyNumberFormat="1" applyFont="1" applyFill="1" applyBorder="1" applyAlignment="1">
      <alignment horizontal="center" vertical="center" wrapText="1"/>
    </xf>
    <xf numFmtId="164" fontId="40" fillId="3" borderId="0" xfId="80" applyFont="1" applyFill="1" applyBorder="1" applyAlignment="1">
      <alignment vertical="center" wrapText="1"/>
    </xf>
    <xf numFmtId="0" fontId="40" fillId="4" borderId="56" xfId="709" applyFill="1" applyBorder="1" applyAlignment="1">
      <alignment horizontal="center" vertical="center" wrapText="1"/>
    </xf>
    <xf numFmtId="164" fontId="40" fillId="3" borderId="20" xfId="80" applyFont="1" applyFill="1" applyBorder="1" applyAlignment="1">
      <alignment vertical="center" wrapText="1"/>
    </xf>
    <xf numFmtId="4" fontId="40" fillId="0" borderId="3" xfId="773" applyNumberFormat="1" applyFont="1" applyBorder="1" applyAlignment="1">
      <alignment horizontal="center" vertical="center" wrapText="1"/>
    </xf>
    <xf numFmtId="4" fontId="40" fillId="3" borderId="18" xfId="773" applyNumberFormat="1" applyFont="1" applyFill="1" applyBorder="1" applyAlignment="1">
      <alignment horizontal="center" vertical="center" wrapText="1"/>
    </xf>
    <xf numFmtId="0" fontId="40" fillId="4" borderId="49" xfId="709" applyFill="1" applyBorder="1" applyAlignment="1">
      <alignment horizontal="center" vertical="center" wrapText="1"/>
    </xf>
    <xf numFmtId="4" fontId="40" fillId="0" borderId="33" xfId="709" applyNumberFormat="1" applyBorder="1" applyAlignment="1">
      <alignment horizontal="center" vertical="center" wrapText="1"/>
    </xf>
    <xf numFmtId="4" fontId="40" fillId="0" borderId="39" xfId="709" applyNumberFormat="1" applyBorder="1" applyAlignment="1">
      <alignment horizontal="center" vertical="center" wrapText="1"/>
    </xf>
    <xf numFmtId="4" fontId="40" fillId="0" borderId="37" xfId="709" applyNumberFormat="1" applyBorder="1" applyAlignment="1">
      <alignment horizontal="center" vertical="center" wrapText="1"/>
    </xf>
    <xf numFmtId="0" fontId="42" fillId="4" borderId="41" xfId="709" applyFont="1" applyFill="1" applyBorder="1" applyAlignment="1">
      <alignment horizontal="center" vertical="center" wrapText="1"/>
    </xf>
    <xf numFmtId="0" fontId="42" fillId="4" borderId="61" xfId="709" applyFont="1" applyFill="1" applyBorder="1" applyAlignment="1">
      <alignment horizontal="center" vertical="center" wrapText="1"/>
    </xf>
    <xf numFmtId="0" fontId="42" fillId="4" borderId="66" xfId="709" applyFont="1" applyFill="1" applyBorder="1" applyAlignment="1">
      <alignment horizontal="center" vertical="center" wrapText="1"/>
    </xf>
    <xf numFmtId="0" fontId="42" fillId="4" borderId="57" xfId="709" applyFont="1" applyFill="1" applyBorder="1" applyAlignment="1">
      <alignment horizontal="center" vertical="center" wrapText="1"/>
    </xf>
    <xf numFmtId="164" fontId="40" fillId="0" borderId="37" xfId="80" applyFont="1" applyBorder="1" applyAlignment="1">
      <alignment vertical="center" wrapText="1"/>
    </xf>
    <xf numFmtId="0" fontId="42" fillId="4" borderId="65" xfId="709" applyFont="1" applyFill="1" applyBorder="1" applyAlignment="1">
      <alignment horizontal="center" vertical="center" wrapText="1"/>
    </xf>
    <xf numFmtId="10" fontId="42" fillId="4" borderId="57" xfId="774" applyNumberFormat="1" applyFont="1" applyFill="1" applyBorder="1" applyAlignment="1">
      <alignment horizontal="center" vertical="center"/>
    </xf>
    <xf numFmtId="4" fontId="40" fillId="3" borderId="52" xfId="773" applyNumberFormat="1" applyFont="1" applyFill="1" applyBorder="1" applyAlignment="1">
      <alignment horizontal="center" vertical="center" wrapText="1"/>
    </xf>
    <xf numFmtId="0" fontId="40" fillId="4" borderId="34" xfId="709" applyFill="1" applyBorder="1" applyAlignment="1">
      <alignment horizontal="center" vertical="center" wrapText="1"/>
    </xf>
    <xf numFmtId="4" fontId="40" fillId="0" borderId="38" xfId="709" applyNumberFormat="1" applyBorder="1" applyAlignment="1">
      <alignment horizontal="center" vertical="center" wrapText="1"/>
    </xf>
    <xf numFmtId="0" fontId="42" fillId="4" borderId="67" xfId="709" applyFont="1" applyFill="1" applyBorder="1" applyAlignment="1">
      <alignment horizontal="center" vertical="center" wrapText="1"/>
    </xf>
    <xf numFmtId="4" fontId="40" fillId="0" borderId="40" xfId="709" applyNumberFormat="1" applyBorder="1" applyAlignment="1">
      <alignment horizontal="center" vertical="center" wrapText="1"/>
    </xf>
    <xf numFmtId="4" fontId="40" fillId="0" borderId="27" xfId="709" applyNumberFormat="1" applyBorder="1" applyAlignment="1">
      <alignment horizontal="center" vertical="center" wrapText="1"/>
    </xf>
    <xf numFmtId="4" fontId="40" fillId="0" borderId="27" xfId="773" applyNumberFormat="1" applyFont="1" applyBorder="1" applyAlignment="1">
      <alignment horizontal="center" vertical="center" wrapText="1"/>
    </xf>
    <xf numFmtId="4" fontId="40" fillId="3" borderId="36" xfId="773" applyNumberFormat="1" applyFont="1" applyFill="1" applyBorder="1" applyAlignment="1">
      <alignment horizontal="center" vertical="center" wrapText="1"/>
    </xf>
    <xf numFmtId="0" fontId="42" fillId="4" borderId="63" xfId="709" applyFont="1" applyFill="1" applyBorder="1" applyAlignment="1">
      <alignment horizontal="center" vertical="center" wrapText="1"/>
    </xf>
    <xf numFmtId="0" fontId="42" fillId="4" borderId="71" xfId="709" applyFont="1" applyFill="1" applyBorder="1" applyAlignment="1">
      <alignment horizontal="center" vertical="center" wrapText="1"/>
    </xf>
    <xf numFmtId="4" fontId="40" fillId="0" borderId="4" xfId="709" applyNumberFormat="1" applyBorder="1" applyAlignment="1">
      <alignment horizontal="center" vertical="center" wrapText="1"/>
    </xf>
    <xf numFmtId="4" fontId="40" fillId="0" borderId="5" xfId="709" applyNumberFormat="1" applyBorder="1" applyAlignment="1">
      <alignment horizontal="center" vertical="center" wrapText="1"/>
    </xf>
    <xf numFmtId="4" fontId="40" fillId="0" borderId="6" xfId="709" applyNumberFormat="1" applyBorder="1" applyAlignment="1">
      <alignment horizontal="center" vertical="center" wrapText="1"/>
    </xf>
    <xf numFmtId="0" fontId="42" fillId="4" borderId="72" xfId="709" applyFont="1" applyFill="1" applyBorder="1" applyAlignment="1">
      <alignment horizontal="center" vertical="center" wrapText="1"/>
    </xf>
    <xf numFmtId="4" fontId="40" fillId="0" borderId="12" xfId="773" applyNumberFormat="1" applyFont="1" applyBorder="1" applyAlignment="1">
      <alignment horizontal="center" vertical="center" wrapText="1"/>
    </xf>
    <xf numFmtId="4" fontId="40" fillId="0" borderId="46" xfId="709" applyNumberFormat="1" applyBorder="1" applyAlignment="1">
      <alignment horizontal="center" vertical="center" wrapText="1"/>
    </xf>
    <xf numFmtId="0" fontId="42" fillId="4" borderId="53" xfId="709" applyFont="1" applyFill="1" applyBorder="1" applyAlignment="1">
      <alignment horizontal="center" vertical="center" wrapText="1"/>
    </xf>
    <xf numFmtId="10" fontId="42" fillId="4" borderId="41" xfId="774" applyNumberFormat="1" applyFont="1" applyFill="1" applyBorder="1" applyAlignment="1">
      <alignment horizontal="center" vertical="center"/>
    </xf>
    <xf numFmtId="4" fontId="40" fillId="0" borderId="18" xfId="773" applyNumberFormat="1" applyFont="1" applyBorder="1" applyAlignment="1">
      <alignment horizontal="center" vertical="center" wrapText="1"/>
    </xf>
    <xf numFmtId="4" fontId="40" fillId="0" borderId="35" xfId="773" applyNumberFormat="1" applyFont="1" applyBorder="1" applyAlignment="1">
      <alignment horizontal="center" vertical="center" wrapText="1"/>
    </xf>
    <xf numFmtId="0" fontId="63" fillId="3" borderId="0" xfId="709" applyFont="1" applyFill="1"/>
    <xf numFmtId="0" fontId="40" fillId="4" borderId="68" xfId="709" applyFill="1" applyBorder="1" applyAlignment="1">
      <alignment horizontal="center" vertical="center" wrapText="1"/>
    </xf>
    <xf numFmtId="4" fontId="40" fillId="0" borderId="73" xfId="773" applyNumberFormat="1" applyFont="1" applyBorder="1" applyAlignment="1">
      <alignment horizontal="center" vertical="center" wrapText="1"/>
    </xf>
    <xf numFmtId="4" fontId="40" fillId="0" borderId="45" xfId="709" applyNumberFormat="1" applyBorder="1" applyAlignment="1">
      <alignment horizontal="center" vertical="center" wrapText="1"/>
    </xf>
    <xf numFmtId="4" fontId="40" fillId="0" borderId="79" xfId="773" applyNumberFormat="1" applyFont="1" applyBorder="1" applyAlignment="1">
      <alignment horizontal="center" vertical="center" wrapText="1"/>
    </xf>
    <xf numFmtId="4" fontId="40" fillId="0" borderId="30" xfId="773" applyNumberFormat="1" applyFont="1" applyBorder="1" applyAlignment="1">
      <alignment horizontal="center" vertical="center" wrapText="1"/>
    </xf>
    <xf numFmtId="4" fontId="40" fillId="0" borderId="36" xfId="773" applyNumberFormat="1" applyFont="1" applyBorder="1" applyAlignment="1">
      <alignment horizontal="center" vertical="center" wrapText="1"/>
    </xf>
    <xf numFmtId="4" fontId="40" fillId="0" borderId="62" xfId="709" applyNumberFormat="1" applyBorder="1" applyAlignment="1">
      <alignment horizontal="center" vertical="center" wrapText="1"/>
    </xf>
    <xf numFmtId="0" fontId="17" fillId="4" borderId="16" xfId="0" applyFont="1" applyFill="1" applyBorder="1" applyAlignment="1">
      <alignment vertical="center"/>
    </xf>
    <xf numFmtId="0" fontId="17" fillId="4" borderId="23" xfId="0" applyFont="1" applyFill="1" applyBorder="1" applyAlignment="1">
      <alignment vertical="center"/>
    </xf>
    <xf numFmtId="0" fontId="17" fillId="4" borderId="21" xfId="0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40" fillId="3" borderId="0" xfId="709" applyFill="1" applyAlignment="1">
      <alignment horizontal="center" vertical="top" wrapText="1"/>
    </xf>
    <xf numFmtId="0" fontId="40" fillId="3" borderId="0" xfId="709" applyFill="1" applyAlignment="1">
      <alignment horizontal="center" vertical="center" wrapText="1"/>
    </xf>
    <xf numFmtId="2" fontId="17" fillId="3" borderId="0" xfId="0" applyNumberFormat="1" applyFont="1" applyFill="1" applyAlignment="1">
      <alignment horizontal="center" vertical="center"/>
    </xf>
    <xf numFmtId="4" fontId="17" fillId="0" borderId="0" xfId="0" applyNumberFormat="1" applyFont="1" applyAlignment="1">
      <alignment horizontal="center"/>
    </xf>
    <xf numFmtId="0" fontId="13" fillId="4" borderId="51" xfId="0" applyFont="1" applyFill="1" applyBorder="1" applyAlignment="1">
      <alignment vertical="center"/>
    </xf>
    <xf numFmtId="0" fontId="13" fillId="4" borderId="52" xfId="0" applyFont="1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2" fillId="4" borderId="19" xfId="0" applyFont="1" applyFill="1" applyBorder="1" applyAlignment="1">
      <alignment horizontal="left" vertical="center"/>
    </xf>
    <xf numFmtId="14" fontId="12" fillId="4" borderId="54" xfId="0" applyNumberFormat="1" applyFont="1" applyFill="1" applyBorder="1" applyAlignment="1">
      <alignment horizontal="center" vertical="center"/>
    </xf>
    <xf numFmtId="164" fontId="13" fillId="3" borderId="43" xfId="80" applyFont="1" applyFill="1" applyBorder="1" applyAlignment="1">
      <alignment horizontal="left" vertical="center"/>
    </xf>
    <xf numFmtId="164" fontId="13" fillId="3" borderId="46" xfId="80" applyFont="1" applyFill="1" applyBorder="1" applyAlignment="1">
      <alignment horizontal="center" vertical="center"/>
    </xf>
    <xf numFmtId="164" fontId="13" fillId="3" borderId="46" xfId="80" applyFont="1" applyFill="1" applyBorder="1" applyAlignment="1">
      <alignment horizontal="left" vertical="center"/>
    </xf>
    <xf numFmtId="164" fontId="13" fillId="3" borderId="49" xfId="80" applyFont="1" applyFill="1" applyBorder="1" applyAlignment="1">
      <alignment horizontal="left" vertical="center"/>
    </xf>
    <xf numFmtId="164" fontId="13" fillId="3" borderId="68" xfId="8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164" fontId="13" fillId="4" borderId="41" xfId="80" applyFont="1" applyFill="1" applyBorder="1" applyAlignment="1">
      <alignment horizontal="left" vertical="center"/>
    </xf>
    <xf numFmtId="2" fontId="13" fillId="4" borderId="41" xfId="0" applyNumberFormat="1" applyFont="1" applyFill="1" applyBorder="1" applyAlignment="1">
      <alignment horizontal="left" vertical="center"/>
    </xf>
    <xf numFmtId="2" fontId="13" fillId="4" borderId="41" xfId="0" applyNumberFormat="1" applyFont="1" applyFill="1" applyBorder="1" applyAlignment="1">
      <alignment horizontal="center" vertical="center"/>
    </xf>
    <xf numFmtId="14" fontId="12" fillId="4" borderId="41" xfId="0" applyNumberFormat="1" applyFont="1" applyFill="1" applyBorder="1" applyAlignment="1">
      <alignment vertical="center"/>
    </xf>
    <xf numFmtId="0" fontId="12" fillId="4" borderId="51" xfId="0" applyFont="1" applyFill="1" applyBorder="1" applyAlignment="1">
      <alignment vertical="center"/>
    </xf>
    <xf numFmtId="164" fontId="13" fillId="3" borderId="43" xfId="80" applyFont="1" applyFill="1" applyBorder="1" applyAlignment="1">
      <alignment horizontal="center" vertical="center"/>
    </xf>
    <xf numFmtId="0" fontId="40" fillId="3" borderId="52" xfId="709" applyFill="1" applyBorder="1" applyAlignment="1">
      <alignment horizontal="center" vertical="top" wrapText="1"/>
    </xf>
    <xf numFmtId="0" fontId="40" fillId="3" borderId="52" xfId="709" applyFill="1" applyBorder="1" applyAlignment="1">
      <alignment horizontal="center" vertical="center" wrapText="1"/>
    </xf>
    <xf numFmtId="0" fontId="53" fillId="3" borderId="0" xfId="0" applyFont="1" applyFill="1" applyAlignment="1">
      <alignment horizontal="left" vertical="center" wrapText="1"/>
    </xf>
    <xf numFmtId="4" fontId="15" fillId="0" borderId="6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78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2" fontId="15" fillId="0" borderId="27" xfId="0" applyNumberFormat="1" applyFont="1" applyBorder="1" applyAlignment="1">
      <alignment horizontal="center"/>
    </xf>
    <xf numFmtId="2" fontId="15" fillId="0" borderId="36" xfId="0" applyNumberFormat="1" applyFont="1" applyBorder="1" applyAlignment="1">
      <alignment horizontal="center"/>
    </xf>
    <xf numFmtId="0" fontId="39" fillId="3" borderId="47" xfId="709" applyFont="1" applyFill="1" applyBorder="1"/>
    <xf numFmtId="0" fontId="39" fillId="3" borderId="48" xfId="709" applyFont="1" applyFill="1" applyBorder="1"/>
    <xf numFmtId="4" fontId="15" fillId="0" borderId="25" xfId="0" applyNumberFormat="1" applyFont="1" applyBorder="1" applyAlignment="1">
      <alignment horizontal="center"/>
    </xf>
    <xf numFmtId="164" fontId="15" fillId="0" borderId="4" xfId="80" quotePrefix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164" fontId="15" fillId="0" borderId="7" xfId="80" quotePrefix="1" applyFont="1" applyBorder="1" applyAlignment="1">
      <alignment horizontal="center" vertical="center"/>
    </xf>
    <xf numFmtId="164" fontId="15" fillId="0" borderId="9" xfId="80" quotePrefix="1" applyFont="1" applyBorder="1" applyAlignment="1">
      <alignment horizontal="center" vertical="center"/>
    </xf>
    <xf numFmtId="2" fontId="13" fillId="0" borderId="62" xfId="0" applyNumberFormat="1" applyFont="1" applyBorder="1" applyAlignment="1">
      <alignment horizontal="center"/>
    </xf>
    <xf numFmtId="2" fontId="13" fillId="0" borderId="46" xfId="0" applyNumberFormat="1" applyFont="1" applyBorder="1" applyAlignment="1">
      <alignment horizontal="center"/>
    </xf>
    <xf numFmtId="2" fontId="13" fillId="0" borderId="43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4" fontId="40" fillId="0" borderId="34" xfId="80" applyFont="1" applyBorder="1" applyAlignment="1">
      <alignment vertical="center" wrapText="1"/>
    </xf>
    <xf numFmtId="164" fontId="40" fillId="3" borderId="56" xfId="80" applyFont="1" applyFill="1" applyBorder="1" applyAlignment="1">
      <alignment vertical="center" wrapText="1"/>
    </xf>
    <xf numFmtId="10" fontId="42" fillId="4" borderId="59" xfId="774" applyNumberFormat="1" applyFont="1" applyFill="1" applyBorder="1" applyAlignment="1">
      <alignment horizontal="center" vertical="center"/>
    </xf>
    <xf numFmtId="164" fontId="40" fillId="0" borderId="4" xfId="80" applyFont="1" applyBorder="1" applyAlignment="1">
      <alignment vertical="center" wrapText="1"/>
    </xf>
    <xf numFmtId="164" fontId="40" fillId="0" borderId="5" xfId="80" applyFont="1" applyBorder="1" applyAlignment="1">
      <alignment vertical="center" wrapText="1"/>
    </xf>
    <xf numFmtId="164" fontId="40" fillId="0" borderId="6" xfId="80" applyFont="1" applyBorder="1" applyAlignment="1">
      <alignment vertical="center" wrapText="1"/>
    </xf>
    <xf numFmtId="164" fontId="40" fillId="0" borderId="7" xfId="80" applyFont="1" applyBorder="1" applyAlignment="1">
      <alignment vertical="center" wrapText="1"/>
    </xf>
    <xf numFmtId="164" fontId="40" fillId="3" borderId="9" xfId="80" applyFont="1" applyFill="1" applyBorder="1" applyAlignment="1">
      <alignment vertical="center" wrapText="1"/>
    </xf>
    <xf numFmtId="164" fontId="40" fillId="0" borderId="55" xfId="80" applyFont="1" applyBorder="1" applyAlignment="1">
      <alignment vertical="center" wrapText="1"/>
    </xf>
    <xf numFmtId="164" fontId="40" fillId="0" borderId="9" xfId="80" applyFont="1" applyBorder="1" applyAlignment="1">
      <alignment vertical="center" wrapText="1"/>
    </xf>
    <xf numFmtId="0" fontId="51" fillId="8" borderId="24" xfId="0" applyFont="1" applyFill="1" applyBorder="1"/>
    <xf numFmtId="0" fontId="51" fillId="8" borderId="22" xfId="0" applyFont="1" applyFill="1" applyBorder="1"/>
    <xf numFmtId="0" fontId="12" fillId="4" borderId="64" xfId="0" applyFont="1" applyFill="1" applyBorder="1" applyAlignment="1">
      <alignment horizontal="center" wrapText="1"/>
    </xf>
    <xf numFmtId="0" fontId="12" fillId="4" borderId="60" xfId="0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vertical="center"/>
    </xf>
    <xf numFmtId="14" fontId="24" fillId="3" borderId="0" xfId="0" applyNumberFormat="1" applyFont="1" applyFill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/>
    </xf>
    <xf numFmtId="0" fontId="15" fillId="3" borderId="47" xfId="0" applyFont="1" applyFill="1" applyBorder="1" applyAlignment="1">
      <alignment horizontal="left" wrapText="1" shrinkToFit="1"/>
    </xf>
    <xf numFmtId="0" fontId="15" fillId="3" borderId="14" xfId="0" applyFont="1" applyFill="1" applyBorder="1" applyAlignment="1">
      <alignment horizontal="left" wrapText="1" shrinkToFit="1"/>
    </xf>
    <xf numFmtId="2" fontId="15" fillId="0" borderId="15" xfId="0" applyNumberFormat="1" applyFont="1" applyBorder="1" applyAlignment="1">
      <alignment horizontal="center"/>
    </xf>
    <xf numFmtId="0" fontId="17" fillId="4" borderId="14" xfId="0" applyFont="1" applyFill="1" applyBorder="1" applyAlignment="1">
      <alignment horizontal="left" wrapText="1" shrinkToFit="1"/>
    </xf>
    <xf numFmtId="4" fontId="17" fillId="0" borderId="62" xfId="0" applyNumberFormat="1" applyFont="1" applyBorder="1" applyAlignment="1">
      <alignment horizontal="center"/>
    </xf>
    <xf numFmtId="2" fontId="17" fillId="0" borderId="15" xfId="0" applyNumberFormat="1" applyFont="1" applyBorder="1" applyAlignment="1">
      <alignment horizontal="center"/>
    </xf>
    <xf numFmtId="0" fontId="64" fillId="0" borderId="49" xfId="709" applyFont="1" applyBorder="1" applyAlignment="1">
      <alignment horizontal="center" vertical="top" wrapText="1"/>
    </xf>
    <xf numFmtId="0" fontId="64" fillId="0" borderId="50" xfId="709" applyFont="1" applyBorder="1" applyAlignment="1">
      <alignment horizontal="center" vertical="top" wrapText="1"/>
    </xf>
    <xf numFmtId="168" fontId="63" fillId="0" borderId="50" xfId="773" applyFont="1" applyBorder="1" applyAlignment="1">
      <alignment horizontal="center" wrapText="1"/>
    </xf>
    <xf numFmtId="4" fontId="13" fillId="0" borderId="31" xfId="0" applyNumberFormat="1" applyFont="1" applyBorder="1" applyAlignment="1">
      <alignment horizontal="center"/>
    </xf>
    <xf numFmtId="164" fontId="13" fillId="0" borderId="55" xfId="80" applyFont="1" applyBorder="1" applyAlignment="1">
      <alignment horizontal="center"/>
    </xf>
    <xf numFmtId="4" fontId="13" fillId="0" borderId="7" xfId="0" applyNumberFormat="1" applyFont="1" applyBorder="1" applyAlignment="1">
      <alignment horizontal="center"/>
    </xf>
    <xf numFmtId="164" fontId="13" fillId="0" borderId="8" xfId="80" applyFont="1" applyBorder="1" applyAlignment="1">
      <alignment horizontal="center"/>
    </xf>
    <xf numFmtId="0" fontId="40" fillId="4" borderId="49" xfId="709" applyFill="1" applyBorder="1" applyAlignment="1">
      <alignment horizontal="center" vertical="top" wrapText="1"/>
    </xf>
    <xf numFmtId="164" fontId="40" fillId="0" borderId="49" xfId="80" applyFont="1" applyBorder="1" applyAlignment="1">
      <alignment horizontal="center" vertical="center" wrapText="1"/>
    </xf>
    <xf numFmtId="164" fontId="40" fillId="0" borderId="44" xfId="80" applyFont="1" applyBorder="1" applyAlignment="1">
      <alignment horizontal="center" vertical="center" wrapText="1"/>
    </xf>
    <xf numFmtId="0" fontId="40" fillId="4" borderId="50" xfId="709" applyFill="1" applyBorder="1" applyAlignment="1">
      <alignment horizontal="center" vertical="top" wrapText="1"/>
    </xf>
    <xf numFmtId="4" fontId="15" fillId="0" borderId="53" xfId="0" applyNumberFormat="1" applyFont="1" applyBorder="1" applyAlignment="1">
      <alignment horizontal="center"/>
    </xf>
    <xf numFmtId="4" fontId="15" fillId="3" borderId="49" xfId="0" applyNumberFormat="1" applyFont="1" applyFill="1" applyBorder="1" applyAlignment="1">
      <alignment horizontal="center"/>
    </xf>
    <xf numFmtId="14" fontId="13" fillId="0" borderId="31" xfId="0" applyNumberFormat="1" applyFont="1" applyBorder="1" applyAlignment="1">
      <alignment horizontal="center"/>
    </xf>
    <xf numFmtId="0" fontId="13" fillId="0" borderId="55" xfId="0" applyFont="1" applyBorder="1"/>
    <xf numFmtId="0" fontId="17" fillId="4" borderId="16" xfId="0" applyFont="1" applyFill="1" applyBorder="1" applyAlignment="1">
      <alignment wrapText="1" shrinkToFit="1"/>
    </xf>
    <xf numFmtId="0" fontId="17" fillId="4" borderId="23" xfId="0" applyFont="1" applyFill="1" applyBorder="1" applyAlignment="1">
      <alignment wrapText="1" shrinkToFit="1"/>
    </xf>
    <xf numFmtId="0" fontId="17" fillId="4" borderId="17" xfId="0" applyFont="1" applyFill="1" applyBorder="1" applyAlignment="1">
      <alignment wrapText="1" shrinkToFit="1"/>
    </xf>
    <xf numFmtId="0" fontId="17" fillId="4" borderId="19" xfId="0" applyFont="1" applyFill="1" applyBorder="1" applyAlignment="1">
      <alignment wrapText="1" shrinkToFit="1"/>
    </xf>
    <xf numFmtId="0" fontId="17" fillId="4" borderId="0" xfId="0" applyFont="1" applyFill="1" applyAlignment="1">
      <alignment wrapText="1" shrinkToFit="1"/>
    </xf>
    <xf numFmtId="0" fontId="17" fillId="4" borderId="20" xfId="0" applyFont="1" applyFill="1" applyBorder="1" applyAlignment="1">
      <alignment wrapText="1" shrinkToFit="1"/>
    </xf>
    <xf numFmtId="4" fontId="17" fillId="3" borderId="46" xfId="0" applyNumberFormat="1" applyFont="1" applyFill="1" applyBorder="1" applyAlignment="1">
      <alignment horizontal="center" vertical="center"/>
    </xf>
    <xf numFmtId="4" fontId="17" fillId="3" borderId="5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wrapText="1" shrinkToFit="1"/>
    </xf>
    <xf numFmtId="0" fontId="17" fillId="4" borderId="24" xfId="0" applyFont="1" applyFill="1" applyBorder="1" applyAlignment="1">
      <alignment wrapText="1" shrinkToFit="1"/>
    </xf>
    <xf numFmtId="4" fontId="17" fillId="3" borderId="62" xfId="0" applyNumberFormat="1" applyFont="1" applyFill="1" applyBorder="1" applyAlignment="1">
      <alignment horizontal="center" vertical="center"/>
    </xf>
    <xf numFmtId="4" fontId="17" fillId="3" borderId="4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9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15" fillId="4" borderId="0" xfId="0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2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28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62" fillId="0" borderId="0" xfId="0" applyFont="1" applyAlignment="1">
      <alignment horizontal="left" vertical="justify" wrapText="1"/>
    </xf>
    <xf numFmtId="0" fontId="2" fillId="4" borderId="51" xfId="0" applyFont="1" applyFill="1" applyBorder="1" applyAlignment="1">
      <alignment horizontal="left" vertical="center" wrapText="1"/>
    </xf>
    <xf numFmtId="0" fontId="2" fillId="4" borderId="52" xfId="0" applyFont="1" applyFill="1" applyBorder="1" applyAlignment="1">
      <alignment horizontal="left" vertical="center" wrapText="1"/>
    </xf>
    <xf numFmtId="0" fontId="2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2" fillId="4" borderId="52" xfId="0" applyFont="1" applyFill="1" applyBorder="1" applyAlignment="1">
      <alignment horizontal="left" wrapText="1"/>
    </xf>
    <xf numFmtId="0" fontId="2" fillId="4" borderId="53" xfId="0" applyFont="1" applyFill="1" applyBorder="1" applyAlignment="1">
      <alignment horizontal="left" wrapText="1"/>
    </xf>
    <xf numFmtId="0" fontId="57" fillId="4" borderId="52" xfId="0" applyFont="1" applyFill="1" applyBorder="1" applyAlignment="1">
      <alignment horizontal="center"/>
    </xf>
    <xf numFmtId="0" fontId="57" fillId="4" borderId="53" xfId="0" applyFont="1" applyFill="1" applyBorder="1" applyAlignment="1">
      <alignment horizontal="center"/>
    </xf>
    <xf numFmtId="0" fontId="60" fillId="4" borderId="42" xfId="0" applyFont="1" applyFill="1" applyBorder="1" applyAlignment="1">
      <alignment horizontal="center" vertical="center" wrapText="1"/>
    </xf>
    <xf numFmtId="0" fontId="60" fillId="4" borderId="54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0" fontId="39" fillId="0" borderId="51" xfId="709" applyFont="1" applyBorder="1" applyAlignment="1">
      <alignment horizontal="center"/>
    </xf>
    <xf numFmtId="0" fontId="39" fillId="0" borderId="52" xfId="709" applyFont="1" applyBorder="1" applyAlignment="1">
      <alignment horizontal="center"/>
    </xf>
    <xf numFmtId="0" fontId="39" fillId="0" borderId="53" xfId="709" applyFont="1" applyBorder="1" applyAlignment="1">
      <alignment horizontal="center"/>
    </xf>
    <xf numFmtId="0" fontId="57" fillId="4" borderId="23" xfId="0" applyFont="1" applyFill="1" applyBorder="1" applyAlignment="1">
      <alignment horizontal="center" vertical="center"/>
    </xf>
    <xf numFmtId="0" fontId="57" fillId="4" borderId="17" xfId="0" applyFont="1" applyFill="1" applyBorder="1" applyAlignment="1">
      <alignment horizontal="center" vertical="center"/>
    </xf>
    <xf numFmtId="0" fontId="57" fillId="4" borderId="24" xfId="0" applyFont="1" applyFill="1" applyBorder="1" applyAlignment="1">
      <alignment horizontal="center" vertical="center"/>
    </xf>
    <xf numFmtId="0" fontId="57" fillId="4" borderId="2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20" xfId="0" applyFont="1" applyFill="1" applyBorder="1" applyAlignment="1">
      <alignment horizontal="left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58" fillId="0" borderId="75" xfId="0" applyFont="1" applyBorder="1" applyAlignment="1">
      <alignment horizontal="center" wrapText="1"/>
    </xf>
    <xf numFmtId="0" fontId="59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1" fillId="2" borderId="5" xfId="0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 wrapText="1"/>
    </xf>
    <xf numFmtId="0" fontId="61" fillId="2" borderId="6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48" fillId="4" borderId="71" xfId="709" applyFont="1" applyFill="1" applyBorder="1" applyAlignment="1">
      <alignment horizontal="center" wrapText="1"/>
    </xf>
    <xf numFmtId="0" fontId="48" fillId="4" borderId="23" xfId="709" applyFont="1" applyFill="1" applyBorder="1" applyAlignment="1">
      <alignment horizontal="center" wrapText="1"/>
    </xf>
    <xf numFmtId="0" fontId="48" fillId="4" borderId="17" xfId="709" applyFont="1" applyFill="1" applyBorder="1" applyAlignment="1">
      <alignment horizontal="center" wrapText="1"/>
    </xf>
    <xf numFmtId="0" fontId="48" fillId="4" borderId="40" xfId="709" applyFont="1" applyFill="1" applyBorder="1" applyAlignment="1">
      <alignment horizontal="center" wrapText="1"/>
    </xf>
    <xf numFmtId="0" fontId="48" fillId="4" borderId="2" xfId="709" applyFont="1" applyFill="1" applyBorder="1" applyAlignment="1">
      <alignment horizontal="center" wrapText="1"/>
    </xf>
    <xf numFmtId="0" fontId="48" fillId="4" borderId="45" xfId="709" applyFont="1" applyFill="1" applyBorder="1" applyAlignment="1">
      <alignment horizontal="center" wrapText="1"/>
    </xf>
    <xf numFmtId="0" fontId="39" fillId="0" borderId="12" xfId="709" applyFont="1" applyBorder="1" applyAlignment="1">
      <alignment horizontal="center"/>
    </xf>
    <xf numFmtId="0" fontId="39" fillId="0" borderId="47" xfId="709" applyFont="1" applyBorder="1" applyAlignment="1">
      <alignment horizontal="center"/>
    </xf>
    <xf numFmtId="0" fontId="39" fillId="0" borderId="27" xfId="709" applyFont="1" applyBorder="1" applyAlignment="1">
      <alignment horizontal="center"/>
    </xf>
    <xf numFmtId="0" fontId="39" fillId="0" borderId="35" xfId="709" applyFont="1" applyBorder="1" applyAlignment="1">
      <alignment horizontal="center"/>
    </xf>
    <xf numFmtId="0" fontId="39" fillId="0" borderId="48" xfId="709" applyFont="1" applyBorder="1" applyAlignment="1">
      <alignment horizontal="center"/>
    </xf>
    <xf numFmtId="0" fontId="39" fillId="0" borderId="36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0" fontId="39" fillId="0" borderId="25" xfId="709" applyFont="1" applyBorder="1" applyAlignment="1">
      <alignment horizontal="center"/>
    </xf>
    <xf numFmtId="0" fontId="39" fillId="0" borderId="14" xfId="709" applyFont="1" applyBorder="1" applyAlignment="1">
      <alignment horizontal="center"/>
    </xf>
    <xf numFmtId="0" fontId="39" fillId="0" borderId="15" xfId="709" applyFont="1" applyBorder="1" applyAlignment="1">
      <alignment horizontal="center"/>
    </xf>
    <xf numFmtId="0" fontId="56" fillId="4" borderId="67" xfId="709" applyFont="1" applyFill="1" applyBorder="1" applyAlignment="1">
      <alignment horizontal="center"/>
    </xf>
    <xf numFmtId="0" fontId="56" fillId="4" borderId="52" xfId="709" applyFont="1" applyFill="1" applyBorder="1" applyAlignment="1">
      <alignment horizontal="center"/>
    </xf>
    <xf numFmtId="0" fontId="56" fillId="4" borderId="53" xfId="709" applyFont="1" applyFill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6" xfId="0" applyNumberFormat="1" applyFont="1" applyBorder="1" applyAlignment="1">
      <alignment horizontal="center"/>
    </xf>
    <xf numFmtId="0" fontId="14" fillId="4" borderId="1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4" fontId="15" fillId="0" borderId="47" xfId="0" applyNumberFormat="1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14" fontId="14" fillId="4" borderId="19" xfId="0" applyNumberFormat="1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left" vertical="center" wrapText="1"/>
    </xf>
    <xf numFmtId="0" fontId="15" fillId="3" borderId="52" xfId="0" applyFont="1" applyFill="1" applyBorder="1" applyAlignment="1">
      <alignment horizontal="left" vertical="center" wrapText="1"/>
    </xf>
    <xf numFmtId="0" fontId="15" fillId="3" borderId="53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4" fontId="15" fillId="3" borderId="56" xfId="0" applyNumberFormat="1" applyFont="1" applyFill="1" applyBorder="1" applyAlignment="1">
      <alignment horizontal="center" vertical="center"/>
    </xf>
    <xf numFmtId="4" fontId="15" fillId="3" borderId="36" xfId="0" applyNumberFormat="1" applyFont="1" applyFill="1" applyBorder="1" applyAlignment="1">
      <alignment horizontal="center" vertical="center"/>
    </xf>
    <xf numFmtId="14" fontId="34" fillId="6" borderId="63" xfId="0" applyNumberFormat="1" applyFont="1" applyFill="1" applyBorder="1" applyAlignment="1">
      <alignment horizontal="center" vertical="center"/>
    </xf>
    <xf numFmtId="14" fontId="34" fillId="6" borderId="59" xfId="0" applyNumberFormat="1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right" vertical="top"/>
    </xf>
    <xf numFmtId="0" fontId="14" fillId="4" borderId="23" xfId="0" applyFont="1" applyFill="1" applyBorder="1" applyAlignment="1">
      <alignment horizontal="right" vertical="top"/>
    </xf>
    <xf numFmtId="0" fontId="11" fillId="4" borderId="51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33" fillId="4" borderId="51" xfId="0" applyFont="1" applyFill="1" applyBorder="1" applyAlignment="1">
      <alignment horizontal="center" vertical="center" wrapText="1"/>
    </xf>
    <xf numFmtId="0" fontId="33" fillId="4" borderId="5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4" fontId="15" fillId="0" borderId="38" xfId="0" applyNumberFormat="1" applyFont="1" applyBorder="1" applyAlignment="1">
      <alignment horizontal="center"/>
    </xf>
    <xf numFmtId="4" fontId="15" fillId="0" borderId="37" xfId="0" applyNumberFormat="1" applyFont="1" applyBorder="1" applyAlignment="1">
      <alignment horizontal="center"/>
    </xf>
    <xf numFmtId="0" fontId="14" fillId="4" borderId="43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10" fontId="14" fillId="4" borderId="23" xfId="0" applyNumberFormat="1" applyFont="1" applyFill="1" applyBorder="1" applyAlignment="1">
      <alignment horizontal="left" vertical="center"/>
    </xf>
    <xf numFmtId="10" fontId="14" fillId="4" borderId="17" xfId="0" applyNumberFormat="1" applyFont="1" applyFill="1" applyBorder="1" applyAlignment="1">
      <alignment horizontal="left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left" vertical="center" wrapText="1"/>
    </xf>
    <xf numFmtId="0" fontId="15" fillId="4" borderId="47" xfId="0" applyFont="1" applyFill="1" applyBorder="1" applyAlignment="1">
      <alignment horizontal="left" vertical="center" wrapText="1"/>
    </xf>
    <xf numFmtId="0" fontId="15" fillId="4" borderId="27" xfId="0" applyFont="1" applyFill="1" applyBorder="1" applyAlignment="1">
      <alignment horizontal="left" vertical="center" wrapText="1"/>
    </xf>
    <xf numFmtId="4" fontId="15" fillId="3" borderId="13" xfId="0" applyNumberFormat="1" applyFont="1" applyFill="1" applyBorder="1" applyAlignment="1">
      <alignment horizontal="center" vertical="center"/>
    </xf>
    <xf numFmtId="4" fontId="15" fillId="3" borderId="15" xfId="0" applyNumberFormat="1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4" fontId="14" fillId="4" borderId="21" xfId="0" applyNumberFormat="1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34" fillId="6" borderId="16" xfId="0" applyFont="1" applyFill="1" applyBorder="1" applyAlignment="1">
      <alignment horizontal="center" vertical="center"/>
    </xf>
    <xf numFmtId="0" fontId="34" fillId="6" borderId="23" xfId="0" applyFont="1" applyFill="1" applyBorder="1" applyAlignment="1">
      <alignment horizontal="center" vertical="center"/>
    </xf>
    <xf numFmtId="0" fontId="34" fillId="6" borderId="17" xfId="0" applyFont="1" applyFill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4" fillId="6" borderId="22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left" vertical="center" wrapText="1" shrinkToFit="1"/>
    </xf>
    <xf numFmtId="0" fontId="15" fillId="4" borderId="23" xfId="0" applyFont="1" applyFill="1" applyBorder="1" applyAlignment="1">
      <alignment horizontal="left" vertical="center" wrapText="1" shrinkToFit="1"/>
    </xf>
    <xf numFmtId="0" fontId="15" fillId="4" borderId="17" xfId="0" applyFont="1" applyFill="1" applyBorder="1" applyAlignment="1">
      <alignment horizontal="left" vertical="center" wrapText="1" shrinkToFit="1"/>
    </xf>
    <xf numFmtId="0" fontId="15" fillId="4" borderId="21" xfId="0" applyFont="1" applyFill="1" applyBorder="1" applyAlignment="1">
      <alignment horizontal="left" vertical="center" wrapText="1" shrinkToFit="1"/>
    </xf>
    <xf numFmtId="0" fontId="15" fillId="4" borderId="24" xfId="0" applyFont="1" applyFill="1" applyBorder="1" applyAlignment="1">
      <alignment horizontal="left" vertical="center" wrapText="1" shrinkToFit="1"/>
    </xf>
    <xf numFmtId="0" fontId="15" fillId="4" borderId="22" xfId="0" applyFont="1" applyFill="1" applyBorder="1" applyAlignment="1">
      <alignment horizontal="left" vertical="center" wrapText="1" shrinkToFit="1"/>
    </xf>
    <xf numFmtId="4" fontId="15" fillId="0" borderId="56" xfId="0" applyNumberFormat="1" applyFont="1" applyBorder="1" applyAlignment="1">
      <alignment horizontal="center"/>
    </xf>
    <xf numFmtId="4" fontId="15" fillId="0" borderId="36" xfId="0" applyNumberFormat="1" applyFont="1" applyBorder="1" applyAlignment="1">
      <alignment horizontal="center"/>
    </xf>
    <xf numFmtId="49" fontId="14" fillId="4" borderId="19" xfId="0" applyNumberFormat="1" applyFont="1" applyFill="1" applyBorder="1" applyAlignment="1">
      <alignment horizontal="center"/>
    </xf>
    <xf numFmtId="4" fontId="15" fillId="0" borderId="44" xfId="0" applyNumberFormat="1" applyFont="1" applyBorder="1" applyAlignment="1">
      <alignment horizontal="center"/>
    </xf>
    <xf numFmtId="4" fontId="15" fillId="0" borderId="27" xfId="0" applyNumberFormat="1" applyFont="1" applyBorder="1" applyAlignment="1">
      <alignment horizontal="center"/>
    </xf>
    <xf numFmtId="4" fontId="15" fillId="0" borderId="34" xfId="0" applyNumberFormat="1" applyFont="1" applyBorder="1" applyAlignment="1">
      <alignment horizontal="center"/>
    </xf>
    <xf numFmtId="4" fontId="15" fillId="0" borderId="45" xfId="0" applyNumberFormat="1" applyFont="1" applyBorder="1" applyAlignment="1">
      <alignment horizontal="center"/>
    </xf>
    <xf numFmtId="0" fontId="15" fillId="4" borderId="21" xfId="0" applyFont="1" applyFill="1" applyBorder="1" applyAlignment="1">
      <alignment horizontal="center" vertical="top"/>
    </xf>
    <xf numFmtId="0" fontId="15" fillId="4" borderId="24" xfId="0" applyFont="1" applyFill="1" applyBorder="1" applyAlignment="1">
      <alignment horizontal="center" vertical="top"/>
    </xf>
    <xf numFmtId="0" fontId="15" fillId="4" borderId="22" xfId="0" applyFont="1" applyFill="1" applyBorder="1" applyAlignment="1">
      <alignment horizontal="center" vertical="top"/>
    </xf>
    <xf numFmtId="14" fontId="34" fillId="6" borderId="65" xfId="0" applyNumberFormat="1" applyFont="1" applyFill="1" applyBorder="1" applyAlignment="1">
      <alignment horizontal="center" vertical="center"/>
    </xf>
    <xf numFmtId="14" fontId="34" fillId="6" borderId="57" xfId="0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14" fontId="24" fillId="4" borderId="19" xfId="0" applyNumberFormat="1" applyFont="1" applyFill="1" applyBorder="1" applyAlignment="1">
      <alignment horizontal="center"/>
    </xf>
    <xf numFmtId="14" fontId="24" fillId="4" borderId="0" xfId="0" applyNumberFormat="1" applyFont="1" applyFill="1" applyAlignment="1">
      <alignment horizontal="center"/>
    </xf>
    <xf numFmtId="14" fontId="24" fillId="4" borderId="20" xfId="0" applyNumberFormat="1" applyFont="1" applyFill="1" applyBorder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48" xfId="0" applyNumberFormat="1" applyFont="1" applyBorder="1" applyAlignment="1">
      <alignment horizontal="center"/>
    </xf>
    <xf numFmtId="14" fontId="34" fillId="6" borderId="66" xfId="0" applyNumberFormat="1" applyFont="1" applyFill="1" applyBorder="1" applyAlignment="1">
      <alignment horizontal="center" vertical="center"/>
    </xf>
    <xf numFmtId="14" fontId="34" fillId="6" borderId="53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14" fontId="34" fillId="6" borderId="51" xfId="0" applyNumberFormat="1" applyFont="1" applyFill="1" applyBorder="1" applyAlignment="1">
      <alignment horizontal="center" vertical="center"/>
    </xf>
    <xf numFmtId="0" fontId="15" fillId="4" borderId="28" xfId="0" quotePrefix="1" applyFont="1" applyFill="1" applyBorder="1" applyAlignment="1">
      <alignment horizontal="left" wrapText="1"/>
    </xf>
    <xf numFmtId="0" fontId="15" fillId="4" borderId="29" xfId="0" quotePrefix="1" applyFont="1" applyFill="1" applyBorder="1" applyAlignment="1">
      <alignment horizontal="left" wrapText="1"/>
    </xf>
    <xf numFmtId="0" fontId="15" fillId="4" borderId="30" xfId="0" quotePrefix="1" applyFont="1" applyFill="1" applyBorder="1" applyAlignment="1">
      <alignment horizontal="left" wrapText="1"/>
    </xf>
    <xf numFmtId="0" fontId="15" fillId="4" borderId="44" xfId="0" quotePrefix="1" applyFont="1" applyFill="1" applyBorder="1" applyAlignment="1">
      <alignment horizontal="left"/>
    </xf>
    <xf numFmtId="0" fontId="15" fillId="4" borderId="47" xfId="0" quotePrefix="1" applyFont="1" applyFill="1" applyBorder="1" applyAlignment="1">
      <alignment horizontal="left"/>
    </xf>
    <xf numFmtId="0" fontId="15" fillId="4" borderId="27" xfId="0" quotePrefix="1" applyFont="1" applyFill="1" applyBorder="1" applyAlignment="1">
      <alignment horizontal="left"/>
    </xf>
    <xf numFmtId="0" fontId="33" fillId="5" borderId="51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33" fillId="5" borderId="53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left" vertical="center" wrapText="1"/>
    </xf>
    <xf numFmtId="0" fontId="33" fillId="8" borderId="23" xfId="0" applyFont="1" applyFill="1" applyBorder="1" applyAlignment="1">
      <alignment horizontal="left" vertical="center" wrapText="1"/>
    </xf>
    <xf numFmtId="0" fontId="33" fillId="8" borderId="17" xfId="0" applyFont="1" applyFill="1" applyBorder="1" applyAlignment="1">
      <alignment horizontal="left" vertical="center" wrapText="1"/>
    </xf>
    <xf numFmtId="0" fontId="33" fillId="8" borderId="21" xfId="0" applyFont="1" applyFill="1" applyBorder="1" applyAlignment="1">
      <alignment horizontal="left" vertical="center" wrapText="1"/>
    </xf>
    <xf numFmtId="0" fontId="33" fillId="8" borderId="24" xfId="0" applyFont="1" applyFill="1" applyBorder="1" applyAlignment="1">
      <alignment horizontal="left" vertical="center" wrapText="1"/>
    </xf>
    <xf numFmtId="0" fontId="33" fillId="8" borderId="22" xfId="0" applyFont="1" applyFill="1" applyBorder="1" applyAlignment="1">
      <alignment horizontal="left" vertical="center" wrapText="1"/>
    </xf>
    <xf numFmtId="0" fontId="33" fillId="8" borderId="51" xfId="0" applyFont="1" applyFill="1" applyBorder="1" applyAlignment="1">
      <alignment horizontal="left" wrapText="1"/>
    </xf>
    <xf numFmtId="0" fontId="33" fillId="8" borderId="52" xfId="0" applyFont="1" applyFill="1" applyBorder="1" applyAlignment="1">
      <alignment horizontal="left" wrapText="1"/>
    </xf>
    <xf numFmtId="0" fontId="33" fillId="8" borderId="53" xfId="0" applyFont="1" applyFill="1" applyBorder="1" applyAlignment="1">
      <alignment horizontal="left" wrapText="1"/>
    </xf>
    <xf numFmtId="0" fontId="33" fillId="8" borderId="19" xfId="0" applyFont="1" applyFill="1" applyBorder="1" applyAlignment="1">
      <alignment horizontal="left" wrapText="1"/>
    </xf>
    <xf numFmtId="0" fontId="33" fillId="8" borderId="0" xfId="0" applyFont="1" applyFill="1" applyAlignment="1">
      <alignment horizontal="left" wrapText="1"/>
    </xf>
    <xf numFmtId="0" fontId="33" fillId="8" borderId="20" xfId="0" applyFont="1" applyFill="1" applyBorder="1" applyAlignment="1">
      <alignment horizontal="left" wrapText="1"/>
    </xf>
    <xf numFmtId="0" fontId="33" fillId="8" borderId="21" xfId="0" applyFont="1" applyFill="1" applyBorder="1" applyAlignment="1">
      <alignment horizontal="left" wrapText="1"/>
    </xf>
    <xf numFmtId="0" fontId="33" fillId="8" borderId="24" xfId="0" applyFont="1" applyFill="1" applyBorder="1" applyAlignment="1">
      <alignment horizontal="left" wrapText="1"/>
    </xf>
    <xf numFmtId="0" fontId="33" fillId="8" borderId="22" xfId="0" applyFont="1" applyFill="1" applyBorder="1" applyAlignment="1">
      <alignment horizontal="left" wrapText="1"/>
    </xf>
    <xf numFmtId="0" fontId="24" fillId="4" borderId="16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wrapText="1"/>
    </xf>
    <xf numFmtId="0" fontId="15" fillId="4" borderId="15" xfId="0" applyFont="1" applyFill="1" applyBorder="1" applyAlignment="1">
      <alignment horizontal="left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4" fillId="4" borderId="20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 applyProtection="1">
      <alignment horizontal="center" vertical="center"/>
      <protection locked="0"/>
    </xf>
    <xf numFmtId="0" fontId="15" fillId="7" borderId="47" xfId="0" applyFont="1" applyFill="1" applyBorder="1" applyAlignment="1" applyProtection="1">
      <alignment horizontal="center" vertical="center"/>
      <protection locked="0"/>
    </xf>
    <xf numFmtId="0" fontId="15" fillId="7" borderId="27" xfId="0" applyFont="1" applyFill="1" applyBorder="1" applyAlignment="1" applyProtection="1">
      <alignment horizontal="center" vertical="center"/>
      <protection locked="0"/>
    </xf>
    <xf numFmtId="4" fontId="15" fillId="0" borderId="56" xfId="0" applyNumberFormat="1" applyFont="1" applyBorder="1" applyAlignment="1">
      <alignment horizontal="center" vertical="center"/>
    </xf>
    <xf numFmtId="4" fontId="15" fillId="0" borderId="48" xfId="0" applyNumberFormat="1" applyFont="1" applyBorder="1" applyAlignment="1">
      <alignment horizontal="center" vertical="center"/>
    </xf>
    <xf numFmtId="4" fontId="15" fillId="0" borderId="36" xfId="0" applyNumberFormat="1" applyFont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left"/>
    </xf>
    <xf numFmtId="0" fontId="15" fillId="4" borderId="52" xfId="0" applyFont="1" applyFill="1" applyBorder="1" applyAlignment="1">
      <alignment horizontal="left"/>
    </xf>
    <xf numFmtId="0" fontId="24" fillId="3" borderId="0" xfId="0" applyFont="1" applyFill="1" applyAlignment="1">
      <alignment horizontal="center"/>
    </xf>
    <xf numFmtId="0" fontId="51" fillId="8" borderId="21" xfId="0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22" xfId="0" applyFont="1" applyFill="1" applyBorder="1" applyAlignment="1">
      <alignment horizont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3" fontId="14" fillId="4" borderId="58" xfId="0" applyNumberFormat="1" applyFont="1" applyFill="1" applyBorder="1" applyAlignment="1">
      <alignment horizontal="center" vertical="center" wrapText="1"/>
    </xf>
    <xf numFmtId="3" fontId="14" fillId="4" borderId="64" xfId="0" applyNumberFormat="1" applyFont="1" applyFill="1" applyBorder="1" applyAlignment="1">
      <alignment horizontal="center" vertical="center" wrapText="1"/>
    </xf>
    <xf numFmtId="3" fontId="14" fillId="4" borderId="3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62" fillId="4" borderId="19" xfId="0" applyFont="1" applyFill="1" applyBorder="1" applyAlignment="1">
      <alignment horizontal="center"/>
    </xf>
    <xf numFmtId="0" fontId="62" fillId="4" borderId="0" xfId="0" applyFont="1" applyFill="1" applyAlignment="1">
      <alignment horizontal="center"/>
    </xf>
    <xf numFmtId="0" fontId="62" fillId="4" borderId="20" xfId="0" applyFont="1" applyFill="1" applyBorder="1" applyAlignment="1">
      <alignment horizontal="center"/>
    </xf>
    <xf numFmtId="4" fontId="15" fillId="3" borderId="56" xfId="0" applyNumberFormat="1" applyFont="1" applyFill="1" applyBorder="1" applyAlignment="1">
      <alignment horizontal="center"/>
    </xf>
    <xf numFmtId="4" fontId="15" fillId="3" borderId="36" xfId="0" applyNumberFormat="1" applyFont="1" applyFill="1" applyBorder="1" applyAlignment="1">
      <alignment horizontal="center"/>
    </xf>
    <xf numFmtId="14" fontId="34" fillId="6" borderId="61" xfId="0" applyNumberFormat="1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left" vertical="center"/>
    </xf>
    <xf numFmtId="0" fontId="15" fillId="4" borderId="47" xfId="0" applyFont="1" applyFill="1" applyBorder="1" applyAlignment="1">
      <alignment horizontal="left" vertical="center"/>
    </xf>
    <xf numFmtId="0" fontId="17" fillId="4" borderId="21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34" xfId="0" quotePrefix="1" applyFont="1" applyFill="1" applyBorder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5" fillId="4" borderId="45" xfId="0" quotePrefix="1" applyFont="1" applyFill="1" applyBorder="1" applyAlignment="1">
      <alignment horizontal="left"/>
    </xf>
    <xf numFmtId="0" fontId="14" fillId="4" borderId="19" xfId="0" applyFont="1" applyFill="1" applyBorder="1" applyAlignment="1">
      <alignment horizontal="center" vertical="center"/>
    </xf>
    <xf numFmtId="14" fontId="14" fillId="4" borderId="51" xfId="0" applyNumberFormat="1" applyFont="1" applyFill="1" applyBorder="1" applyAlignment="1">
      <alignment horizontal="center" vertical="center"/>
    </xf>
    <xf numFmtId="14" fontId="14" fillId="4" borderId="52" xfId="0" applyNumberFormat="1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left" wrapText="1"/>
    </xf>
    <xf numFmtId="0" fontId="14" fillId="4" borderId="16" xfId="0" applyFont="1" applyFill="1" applyBorder="1" applyAlignment="1">
      <alignment horizontal="right" vertical="center"/>
    </xf>
    <xf numFmtId="0" fontId="14" fillId="4" borderId="23" xfId="0" applyFont="1" applyFill="1" applyBorder="1" applyAlignment="1">
      <alignment horizontal="right" vertical="center"/>
    </xf>
    <xf numFmtId="9" fontId="14" fillId="4" borderId="51" xfId="0" applyNumberFormat="1" applyFont="1" applyFill="1" applyBorder="1" applyAlignment="1">
      <alignment horizontal="center" vertical="center" wrapText="1"/>
    </xf>
    <xf numFmtId="9" fontId="14" fillId="4" borderId="53" xfId="0" applyNumberFormat="1" applyFont="1" applyFill="1" applyBorder="1" applyAlignment="1">
      <alignment horizontal="center" vertical="center" wrapText="1"/>
    </xf>
    <xf numFmtId="9" fontId="14" fillId="4" borderId="65" xfId="0" applyNumberFormat="1" applyFont="1" applyFill="1" applyBorder="1" applyAlignment="1">
      <alignment horizontal="center" vertical="center" wrapText="1"/>
    </xf>
    <xf numFmtId="9" fontId="14" fillId="4" borderId="57" xfId="0" applyNumberFormat="1" applyFont="1" applyFill="1" applyBorder="1" applyAlignment="1">
      <alignment horizontal="center" vertical="center" wrapText="1"/>
    </xf>
    <xf numFmtId="14" fontId="24" fillId="4" borderId="19" xfId="0" applyNumberFormat="1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vertical="center"/>
    </xf>
    <xf numFmtId="14" fontId="24" fillId="4" borderId="20" xfId="0" applyNumberFormat="1" applyFont="1" applyFill="1" applyBorder="1" applyAlignment="1">
      <alignment horizontal="center" vertical="center"/>
    </xf>
    <xf numFmtId="49" fontId="34" fillId="6" borderId="21" xfId="0" applyNumberFormat="1" applyFont="1" applyFill="1" applyBorder="1" applyAlignment="1">
      <alignment horizontal="center" vertical="center"/>
    </xf>
    <xf numFmtId="14" fontId="34" fillId="6" borderId="22" xfId="0" applyNumberFormat="1" applyFont="1" applyFill="1" applyBorder="1" applyAlignment="1">
      <alignment horizontal="center" vertical="center"/>
    </xf>
    <xf numFmtId="14" fontId="33" fillId="6" borderId="52" xfId="0" applyNumberFormat="1" applyFont="1" applyFill="1" applyBorder="1" applyAlignment="1">
      <alignment horizontal="center" vertical="center"/>
    </xf>
    <xf numFmtId="14" fontId="33" fillId="6" borderId="53" xfId="0" applyNumberFormat="1" applyFont="1" applyFill="1" applyBorder="1" applyAlignment="1">
      <alignment horizontal="center" vertical="center"/>
    </xf>
    <xf numFmtId="14" fontId="34" fillId="6" borderId="58" xfId="0" applyNumberFormat="1" applyFont="1" applyFill="1" applyBorder="1" applyAlignment="1">
      <alignment horizontal="center" vertical="center"/>
    </xf>
    <xf numFmtId="14" fontId="34" fillId="6" borderId="21" xfId="0" applyNumberFormat="1" applyFont="1" applyFill="1" applyBorder="1" applyAlignment="1">
      <alignment horizontal="center" vertical="center"/>
    </xf>
    <xf numFmtId="0" fontId="34" fillId="6" borderId="19" xfId="0" applyFont="1" applyFill="1" applyBorder="1" applyAlignment="1">
      <alignment horizontal="center" vertical="center"/>
    </xf>
    <xf numFmtId="0" fontId="34" fillId="6" borderId="20" xfId="0" applyFont="1" applyFill="1" applyBorder="1" applyAlignment="1">
      <alignment horizontal="center" vertical="center"/>
    </xf>
    <xf numFmtId="14" fontId="34" fillId="6" borderId="64" xfId="0" applyNumberFormat="1" applyFont="1" applyFill="1" applyBorder="1" applyAlignment="1">
      <alignment horizontal="center" vertical="center"/>
    </xf>
    <xf numFmtId="14" fontId="34" fillId="6" borderId="60" xfId="0" applyNumberFormat="1" applyFont="1" applyFill="1" applyBorder="1" applyAlignment="1">
      <alignment horizontal="center" vertical="center"/>
    </xf>
    <xf numFmtId="0" fontId="34" fillId="6" borderId="65" xfId="0" applyFont="1" applyFill="1" applyBorder="1" applyAlignment="1">
      <alignment horizontal="center" vertical="center"/>
    </xf>
    <xf numFmtId="0" fontId="34" fillId="6" borderId="6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14" fontId="33" fillId="6" borderId="51" xfId="0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4" fontId="14" fillId="3" borderId="74" xfId="0" applyNumberFormat="1" applyFont="1" applyFill="1" applyBorder="1" applyAlignment="1">
      <alignment horizontal="center" vertical="center"/>
    </xf>
    <xf numFmtId="14" fontId="14" fillId="3" borderId="29" xfId="0" applyNumberFormat="1" applyFont="1" applyFill="1" applyBorder="1" applyAlignment="1">
      <alignment horizontal="center" vertical="center"/>
    </xf>
    <xf numFmtId="14" fontId="14" fillId="3" borderId="73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Alignment="1">
      <alignment horizontal="center" vertical="center" wrapText="1"/>
    </xf>
    <xf numFmtId="14" fontId="33" fillId="6" borderId="19" xfId="0" applyNumberFormat="1" applyFont="1" applyFill="1" applyBorder="1" applyAlignment="1">
      <alignment horizontal="center" vertical="center"/>
    </xf>
    <xf numFmtId="14" fontId="33" fillId="6" borderId="0" xfId="0" applyNumberFormat="1" applyFont="1" applyFill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4" xfId="0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0" fontId="24" fillId="4" borderId="19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0" fontId="24" fillId="4" borderId="20" xfId="0" applyFont="1" applyFill="1" applyBorder="1" applyAlignment="1" applyProtection="1">
      <alignment horizontal="center" vertical="center"/>
      <protection locked="0"/>
    </xf>
    <xf numFmtId="14" fontId="33" fillId="8" borderId="51" xfId="0" applyNumberFormat="1" applyFont="1" applyFill="1" applyBorder="1" applyAlignment="1">
      <alignment horizontal="center" vertical="center"/>
    </xf>
    <xf numFmtId="14" fontId="33" fillId="8" borderId="52" xfId="0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center" vertical="center"/>
    </xf>
    <xf numFmtId="0" fontId="34" fillId="6" borderId="5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/>
    </xf>
    <xf numFmtId="0" fontId="13" fillId="0" borderId="52" xfId="0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 vertical="center"/>
    </xf>
    <xf numFmtId="3" fontId="15" fillId="3" borderId="56" xfId="0" applyNumberFormat="1" applyFont="1" applyFill="1" applyBorder="1" applyAlignment="1">
      <alignment horizontal="center"/>
    </xf>
    <xf numFmtId="3" fontId="15" fillId="3" borderId="36" xfId="0" applyNumberFormat="1" applyFont="1" applyFill="1" applyBorder="1" applyAlignment="1">
      <alignment horizontal="center"/>
    </xf>
    <xf numFmtId="0" fontId="24" fillId="4" borderId="51" xfId="0" applyFont="1" applyFill="1" applyBorder="1" applyAlignment="1">
      <alignment horizontal="center" vertical="center" wrapText="1"/>
    </xf>
    <xf numFmtId="0" fontId="24" fillId="4" borderId="52" xfId="0" applyFont="1" applyFill="1" applyBorder="1" applyAlignment="1">
      <alignment horizontal="center" vertical="center" wrapText="1"/>
    </xf>
    <xf numFmtId="0" fontId="24" fillId="4" borderId="53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3" fontId="15" fillId="3" borderId="5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center"/>
    </xf>
    <xf numFmtId="0" fontId="15" fillId="0" borderId="0" xfId="0" applyFont="1" applyAlignment="1">
      <alignment horizontal="left" vertical="top" wrapText="1"/>
    </xf>
    <xf numFmtId="14" fontId="24" fillId="4" borderId="22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left" vertical="center" wrapText="1"/>
    </xf>
    <xf numFmtId="14" fontId="15" fillId="3" borderId="0" xfId="0" applyNumberFormat="1" applyFont="1" applyFill="1" applyAlignment="1">
      <alignment horizontal="left" vertical="top" wrapText="1"/>
    </xf>
    <xf numFmtId="14" fontId="14" fillId="4" borderId="22" xfId="0" applyNumberFormat="1" applyFont="1" applyFill="1" applyBorder="1" applyAlignment="1">
      <alignment horizontal="center" vertical="center" wrapText="1"/>
    </xf>
    <xf numFmtId="14" fontId="15" fillId="3" borderId="40" xfId="0" applyNumberFormat="1" applyFont="1" applyFill="1" applyBorder="1" applyAlignment="1">
      <alignment horizontal="left" vertical="center" wrapText="1"/>
    </xf>
    <xf numFmtId="14" fontId="15" fillId="3" borderId="2" xfId="0" applyNumberFormat="1" applyFont="1" applyFill="1" applyBorder="1" applyAlignment="1">
      <alignment horizontal="left" vertical="center" wrapText="1"/>
    </xf>
    <xf numFmtId="14" fontId="15" fillId="3" borderId="33" xfId="0" applyNumberFormat="1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17" fillId="3" borderId="7" xfId="0" applyNumberFormat="1" applyFont="1" applyFill="1" applyBorder="1" applyAlignment="1">
      <alignment horizontal="center" vertical="center"/>
    </xf>
    <xf numFmtId="4" fontId="17" fillId="3" borderId="8" xfId="0" applyNumberFormat="1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left" vertical="center" wrapText="1" shrinkToFit="1"/>
    </xf>
    <xf numFmtId="0" fontId="17" fillId="4" borderId="10" xfId="0" applyFont="1" applyFill="1" applyBorder="1" applyAlignment="1">
      <alignment horizontal="left" vertical="center" wrapText="1" shrinkToFit="1"/>
    </xf>
    <xf numFmtId="0" fontId="17" fillId="4" borderId="11" xfId="0" applyFont="1" applyFill="1" applyBorder="1" applyAlignment="1">
      <alignment horizontal="left" vertical="center" wrapText="1" shrinkToFit="1"/>
    </xf>
    <xf numFmtId="4" fontId="17" fillId="3" borderId="9" xfId="0" applyNumberFormat="1" applyFont="1" applyFill="1" applyBorder="1" applyAlignment="1">
      <alignment horizontal="center" vertical="center"/>
    </xf>
    <xf numFmtId="4" fontId="17" fillId="3" borderId="11" xfId="0" applyNumberFormat="1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/>
    </xf>
    <xf numFmtId="14" fontId="18" fillId="4" borderId="21" xfId="0" applyNumberFormat="1" applyFont="1" applyFill="1" applyBorder="1" applyAlignment="1">
      <alignment horizontal="center"/>
    </xf>
    <xf numFmtId="14" fontId="18" fillId="4" borderId="22" xfId="0" applyNumberFormat="1" applyFont="1" applyFill="1" applyBorder="1" applyAlignment="1">
      <alignment horizontal="center"/>
    </xf>
    <xf numFmtId="49" fontId="18" fillId="4" borderId="21" xfId="0" applyNumberFormat="1" applyFont="1" applyFill="1" applyBorder="1" applyAlignment="1">
      <alignment horizontal="center"/>
    </xf>
    <xf numFmtId="4" fontId="17" fillId="3" borderId="4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4" fontId="17" fillId="3" borderId="18" xfId="0" applyNumberFormat="1" applyFont="1" applyFill="1" applyBorder="1" applyAlignment="1">
      <alignment horizontal="center" vertical="center"/>
    </xf>
    <xf numFmtId="4" fontId="17" fillId="3" borderId="35" xfId="0" applyNumberFormat="1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left" wrapText="1" shrinkToFit="1"/>
    </xf>
    <xf numFmtId="0" fontId="17" fillId="4" borderId="2" xfId="0" applyFont="1" applyFill="1" applyBorder="1" applyAlignment="1">
      <alignment horizontal="left" wrapText="1" shrinkToFit="1"/>
    </xf>
    <xf numFmtId="0" fontId="17" fillId="4" borderId="45" xfId="0" applyFont="1" applyFill="1" applyBorder="1" applyAlignment="1">
      <alignment horizontal="left" wrapText="1" shrinkToFit="1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left" wrapText="1" shrinkToFit="1"/>
    </xf>
    <xf numFmtId="0" fontId="17" fillId="4" borderId="23" xfId="0" applyFont="1" applyFill="1" applyBorder="1" applyAlignment="1">
      <alignment horizontal="left" wrapText="1" shrinkToFit="1"/>
    </xf>
    <xf numFmtId="0" fontId="17" fillId="4" borderId="17" xfId="0" applyFont="1" applyFill="1" applyBorder="1" applyAlignment="1">
      <alignment horizontal="left" wrapText="1" shrinkToFit="1"/>
    </xf>
    <xf numFmtId="0" fontId="17" fillId="4" borderId="19" xfId="0" applyFont="1" applyFill="1" applyBorder="1" applyAlignment="1">
      <alignment horizontal="left" wrapText="1" shrinkToFit="1"/>
    </xf>
    <xf numFmtId="0" fontId="17" fillId="4" borderId="0" xfId="0" applyFont="1" applyFill="1" applyAlignment="1">
      <alignment horizontal="left" wrapText="1" shrinkToFit="1"/>
    </xf>
    <xf numFmtId="0" fontId="17" fillId="4" borderId="20" xfId="0" applyFont="1" applyFill="1" applyBorder="1" applyAlignment="1">
      <alignment horizontal="left" wrapText="1" shrinkToFit="1"/>
    </xf>
    <xf numFmtId="0" fontId="17" fillId="4" borderId="21" xfId="0" applyFont="1" applyFill="1" applyBorder="1" applyAlignment="1">
      <alignment horizontal="left" wrapText="1" shrinkToFit="1"/>
    </xf>
    <xf numFmtId="0" fontId="17" fillId="4" borderId="24" xfId="0" applyFont="1" applyFill="1" applyBorder="1" applyAlignment="1">
      <alignment horizontal="left" wrapText="1" shrinkToFit="1"/>
    </xf>
    <xf numFmtId="0" fontId="17" fillId="4" borderId="22" xfId="0" applyFont="1" applyFill="1" applyBorder="1" applyAlignment="1">
      <alignment horizontal="left" wrapText="1" shrinkToFit="1"/>
    </xf>
    <xf numFmtId="4" fontId="17" fillId="3" borderId="51" xfId="0" applyNumberFormat="1" applyFont="1" applyFill="1" applyBorder="1" applyAlignment="1">
      <alignment horizontal="center" vertical="center"/>
    </xf>
    <xf numFmtId="4" fontId="17" fillId="3" borderId="53" xfId="0" applyNumberFormat="1" applyFont="1" applyFill="1" applyBorder="1" applyAlignment="1">
      <alignment horizontal="center" vertical="center"/>
    </xf>
    <xf numFmtId="0" fontId="63" fillId="4" borderId="44" xfId="709" applyFont="1" applyFill="1" applyBorder="1" applyAlignment="1">
      <alignment horizontal="left"/>
    </xf>
    <xf numFmtId="0" fontId="63" fillId="4" borderId="47" xfId="709" applyFont="1" applyFill="1" applyBorder="1" applyAlignment="1">
      <alignment horizontal="left"/>
    </xf>
    <xf numFmtId="0" fontId="63" fillId="4" borderId="56" xfId="709" applyFont="1" applyFill="1" applyBorder="1" applyAlignment="1">
      <alignment horizontal="left"/>
    </xf>
    <xf numFmtId="0" fontId="63" fillId="4" borderId="48" xfId="709" applyFont="1" applyFill="1" applyBorder="1" applyAlignment="1">
      <alignment horizontal="left"/>
    </xf>
    <xf numFmtId="0" fontId="17" fillId="4" borderId="13" xfId="0" applyFont="1" applyFill="1" applyBorder="1" applyAlignment="1">
      <alignment horizontal="left" wrapText="1" shrinkToFit="1"/>
    </xf>
    <xf numFmtId="0" fontId="17" fillId="4" borderId="14" xfId="0" applyFont="1" applyFill="1" applyBorder="1" applyAlignment="1">
      <alignment horizontal="left" wrapText="1" shrinkToFit="1"/>
    </xf>
    <xf numFmtId="4" fontId="17" fillId="3" borderId="38" xfId="0" applyNumberFormat="1" applyFont="1" applyFill="1" applyBorder="1" applyAlignment="1">
      <alignment horizontal="center" vertical="center"/>
    </xf>
    <xf numFmtId="4" fontId="17" fillId="3" borderId="37" xfId="0" applyNumberFormat="1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left" wrapText="1" shrinkToFit="1"/>
    </xf>
    <xf numFmtId="0" fontId="17" fillId="4" borderId="48" xfId="0" applyFont="1" applyFill="1" applyBorder="1" applyAlignment="1">
      <alignment horizontal="left" wrapText="1" shrinkToFit="1"/>
    </xf>
    <xf numFmtId="0" fontId="17" fillId="4" borderId="36" xfId="0" applyFont="1" applyFill="1" applyBorder="1" applyAlignment="1">
      <alignment horizontal="left" wrapText="1" shrinkToFit="1"/>
    </xf>
    <xf numFmtId="0" fontId="17" fillId="4" borderId="4" xfId="0" applyFont="1" applyFill="1" applyBorder="1" applyAlignment="1">
      <alignment horizontal="left" vertical="center" wrapText="1" shrinkToFit="1"/>
    </xf>
    <xf numFmtId="0" fontId="17" fillId="4" borderId="5" xfId="0" applyFont="1" applyFill="1" applyBorder="1" applyAlignment="1">
      <alignment horizontal="left" vertical="center" wrapText="1" shrinkToFit="1"/>
    </xf>
    <xf numFmtId="0" fontId="17" fillId="4" borderId="6" xfId="0" applyFont="1" applyFill="1" applyBorder="1" applyAlignment="1">
      <alignment horizontal="left" vertical="center" wrapText="1" shrinkToFit="1"/>
    </xf>
    <xf numFmtId="0" fontId="17" fillId="4" borderId="7" xfId="0" applyFont="1" applyFill="1" applyBorder="1" applyAlignment="1">
      <alignment horizontal="left" vertical="center" wrapText="1" shrinkToFit="1"/>
    </xf>
    <xf numFmtId="0" fontId="17" fillId="4" borderId="1" xfId="0" applyFont="1" applyFill="1" applyBorder="1" applyAlignment="1">
      <alignment horizontal="left" vertical="center" wrapText="1" shrinkToFit="1"/>
    </xf>
    <xf numFmtId="0" fontId="17" fillId="4" borderId="8" xfId="0" applyFont="1" applyFill="1" applyBorder="1" applyAlignment="1">
      <alignment horizontal="left" vertical="center" wrapText="1" shrinkToFit="1"/>
    </xf>
    <xf numFmtId="4" fontId="17" fillId="0" borderId="56" xfId="0" applyNumberFormat="1" applyFont="1" applyBorder="1" applyAlignment="1">
      <alignment horizontal="center"/>
    </xf>
    <xf numFmtId="4" fontId="17" fillId="0" borderId="36" xfId="0" applyNumberFormat="1" applyFont="1" applyBorder="1" applyAlignment="1">
      <alignment horizontal="center"/>
    </xf>
    <xf numFmtId="14" fontId="18" fillId="4" borderId="21" xfId="0" applyNumberFormat="1" applyFont="1" applyFill="1" applyBorder="1" applyAlignment="1">
      <alignment horizontal="center" vertical="center"/>
    </xf>
    <xf numFmtId="14" fontId="18" fillId="4" borderId="22" xfId="0" applyNumberFormat="1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37" fillId="4" borderId="51" xfId="709" applyFont="1" applyFill="1" applyBorder="1" applyAlignment="1">
      <alignment horizontal="center"/>
    </xf>
    <xf numFmtId="0" fontId="37" fillId="4" borderId="52" xfId="709" applyFont="1" applyFill="1" applyBorder="1" applyAlignment="1">
      <alignment horizontal="center"/>
    </xf>
    <xf numFmtId="0" fontId="37" fillId="4" borderId="53" xfId="709" applyFont="1" applyFill="1" applyBorder="1" applyAlignment="1">
      <alignment horizontal="center"/>
    </xf>
    <xf numFmtId="4" fontId="17" fillId="0" borderId="13" xfId="0" applyNumberFormat="1" applyFont="1" applyBorder="1" applyAlignment="1">
      <alignment horizontal="center"/>
    </xf>
    <xf numFmtId="4" fontId="17" fillId="0" borderId="15" xfId="0" applyNumberFormat="1" applyFont="1" applyBorder="1" applyAlignment="1">
      <alignment horizontal="center"/>
    </xf>
    <xf numFmtId="14" fontId="18" fillId="4" borderId="24" xfId="0" applyNumberFormat="1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4" fontId="17" fillId="0" borderId="14" xfId="0" applyNumberFormat="1" applyFont="1" applyBorder="1" applyAlignment="1">
      <alignment horizontal="center"/>
    </xf>
    <xf numFmtId="4" fontId="17" fillId="0" borderId="24" xfId="0" applyNumberFormat="1" applyFont="1" applyBorder="1" applyAlignment="1">
      <alignment horizontal="center"/>
    </xf>
    <xf numFmtId="4" fontId="17" fillId="0" borderId="22" xfId="0" applyNumberFormat="1" applyFont="1" applyBorder="1" applyAlignment="1">
      <alignment horizontal="center"/>
    </xf>
    <xf numFmtId="0" fontId="17" fillId="4" borderId="56" xfId="0" applyFont="1" applyFill="1" applyBorder="1" applyAlignment="1">
      <alignment horizontal="left"/>
    </xf>
    <xf numFmtId="0" fontId="17" fillId="4" borderId="48" xfId="0" applyFont="1" applyFill="1" applyBorder="1" applyAlignment="1">
      <alignment horizontal="left"/>
    </xf>
    <xf numFmtId="0" fontId="17" fillId="4" borderId="36" xfId="0" applyFont="1" applyFill="1" applyBorder="1" applyAlignment="1">
      <alignment horizontal="left"/>
    </xf>
    <xf numFmtId="0" fontId="18" fillId="4" borderId="2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/>
    </xf>
    <xf numFmtId="0" fontId="17" fillId="4" borderId="15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left" vertical="center"/>
    </xf>
    <xf numFmtId="0" fontId="17" fillId="4" borderId="21" xfId="0" applyFont="1" applyFill="1" applyBorder="1" applyAlignment="1">
      <alignment horizontal="left" vertical="center"/>
    </xf>
    <xf numFmtId="0" fontId="17" fillId="4" borderId="24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0" fontId="76" fillId="4" borderId="21" xfId="709" applyFont="1" applyFill="1" applyBorder="1" applyAlignment="1">
      <alignment horizontal="center" vertical="center" wrapText="1"/>
    </xf>
    <xf numFmtId="0" fontId="76" fillId="4" borderId="24" xfId="709" applyFont="1" applyFill="1" applyBorder="1" applyAlignment="1">
      <alignment horizontal="center" vertical="center" wrapText="1"/>
    </xf>
    <xf numFmtId="0" fontId="76" fillId="4" borderId="22" xfId="709" applyFont="1" applyFill="1" applyBorder="1" applyAlignment="1">
      <alignment horizontal="center" vertical="center" wrapText="1"/>
    </xf>
    <xf numFmtId="2" fontId="17" fillId="0" borderId="20" xfId="0" applyNumberFormat="1" applyFont="1" applyBorder="1" applyAlignment="1">
      <alignment horizontal="center"/>
    </xf>
    <xf numFmtId="2" fontId="17" fillId="0" borderId="45" xfId="0" applyNumberFormat="1" applyFont="1" applyBorder="1" applyAlignment="1">
      <alignment horizontal="center"/>
    </xf>
    <xf numFmtId="0" fontId="74" fillId="4" borderId="51" xfId="709" applyFont="1" applyFill="1" applyBorder="1" applyAlignment="1">
      <alignment horizontal="center" vertical="center"/>
    </xf>
    <xf numFmtId="0" fontId="74" fillId="4" borderId="52" xfId="709" applyFont="1" applyFill="1" applyBorder="1" applyAlignment="1">
      <alignment horizontal="center" vertical="center"/>
    </xf>
    <xf numFmtId="0" fontId="74" fillId="4" borderId="53" xfId="709" applyFont="1" applyFill="1" applyBorder="1" applyAlignment="1">
      <alignment horizontal="center" vertical="center"/>
    </xf>
    <xf numFmtId="0" fontId="41" fillId="4" borderId="51" xfId="709" applyFont="1" applyFill="1" applyBorder="1" applyAlignment="1" applyProtection="1">
      <alignment horizontal="center" vertical="center" wrapText="1"/>
      <protection locked="0"/>
    </xf>
    <xf numFmtId="0" fontId="41" fillId="4" borderId="53" xfId="709" applyFont="1" applyFill="1" applyBorder="1" applyAlignment="1" applyProtection="1">
      <alignment horizontal="center" vertical="center" wrapText="1"/>
      <protection locked="0"/>
    </xf>
    <xf numFmtId="4" fontId="17" fillId="0" borderId="54" xfId="0" applyNumberFormat="1" applyFont="1" applyBorder="1" applyAlignment="1">
      <alignment horizontal="center"/>
    </xf>
    <xf numFmtId="4" fontId="17" fillId="0" borderId="46" xfId="0" applyNumberFormat="1" applyFont="1" applyBorder="1" applyAlignment="1">
      <alignment horizontal="center"/>
    </xf>
    <xf numFmtId="0" fontId="17" fillId="4" borderId="19" xfId="0" applyFont="1" applyFill="1" applyBorder="1" applyAlignment="1">
      <alignment horizontal="left" vertical="top" wrapText="1" shrinkToFit="1"/>
    </xf>
    <xf numFmtId="0" fontId="17" fillId="4" borderId="0" xfId="0" applyFont="1" applyFill="1" applyAlignment="1">
      <alignment horizontal="left" vertical="top" wrapText="1" shrinkToFit="1"/>
    </xf>
    <xf numFmtId="0" fontId="17" fillId="4" borderId="34" xfId="0" applyFont="1" applyFill="1" applyBorder="1" applyAlignment="1">
      <alignment horizontal="left" vertical="top" wrapText="1" shrinkToFit="1"/>
    </xf>
    <xf numFmtId="0" fontId="17" fillId="4" borderId="2" xfId="0" applyFont="1" applyFill="1" applyBorder="1" applyAlignment="1">
      <alignment horizontal="left" vertical="top" wrapText="1" shrinkToFit="1"/>
    </xf>
    <xf numFmtId="0" fontId="40" fillId="0" borderId="23" xfId="709" applyBorder="1" applyAlignment="1">
      <alignment horizontal="center"/>
    </xf>
    <xf numFmtId="0" fontId="40" fillId="0" borderId="24" xfId="709" applyBorder="1" applyAlignment="1">
      <alignment horizontal="center"/>
    </xf>
    <xf numFmtId="4" fontId="17" fillId="3" borderId="33" xfId="0" applyNumberFormat="1" applyFont="1" applyFill="1" applyBorder="1" applyAlignment="1">
      <alignment horizontal="center" vertical="center"/>
    </xf>
    <xf numFmtId="4" fontId="17" fillId="3" borderId="40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41" fillId="4" borderId="51" xfId="709" applyFont="1" applyFill="1" applyBorder="1" applyAlignment="1">
      <alignment horizontal="center" vertical="center" wrapText="1"/>
    </xf>
    <xf numFmtId="0" fontId="41" fillId="4" borderId="53" xfId="709" applyFont="1" applyFill="1" applyBorder="1" applyAlignment="1">
      <alignment horizontal="center" vertical="center" wrapText="1"/>
    </xf>
    <xf numFmtId="0" fontId="41" fillId="4" borderId="51" xfId="709" applyFont="1" applyFill="1" applyBorder="1" applyAlignment="1" applyProtection="1">
      <alignment horizontal="center" vertical="center"/>
      <protection locked="0"/>
    </xf>
    <xf numFmtId="0" fontId="41" fillId="4" borderId="52" xfId="709" applyFont="1" applyFill="1" applyBorder="1" applyAlignment="1" applyProtection="1">
      <alignment horizontal="center" vertical="center"/>
      <protection locked="0"/>
    </xf>
    <xf numFmtId="0" fontId="41" fillId="4" borderId="53" xfId="709" applyFont="1" applyFill="1" applyBorder="1" applyAlignment="1" applyProtection="1">
      <alignment horizontal="center" vertical="center"/>
      <protection locked="0"/>
    </xf>
    <xf numFmtId="0" fontId="41" fillId="4" borderId="51" xfId="709" applyFont="1" applyFill="1" applyBorder="1" applyAlignment="1">
      <alignment horizontal="center" vertical="center"/>
    </xf>
    <xf numFmtId="0" fontId="41" fillId="4" borderId="52" xfId="709" applyFont="1" applyFill="1" applyBorder="1" applyAlignment="1">
      <alignment horizontal="center" vertical="center"/>
    </xf>
    <xf numFmtId="0" fontId="41" fillId="4" borderId="53" xfId="709" applyFont="1" applyFill="1" applyBorder="1" applyAlignment="1">
      <alignment horizontal="center" vertical="center"/>
    </xf>
    <xf numFmtId="0" fontId="18" fillId="4" borderId="58" xfId="0" applyFont="1" applyFill="1" applyBorder="1" applyAlignment="1">
      <alignment horizontal="center"/>
    </xf>
    <xf numFmtId="0" fontId="18" fillId="4" borderId="59" xfId="0" applyFont="1" applyFill="1" applyBorder="1" applyAlignment="1">
      <alignment horizontal="center"/>
    </xf>
    <xf numFmtId="14" fontId="18" fillId="4" borderId="31" xfId="0" applyNumberFormat="1" applyFont="1" applyFill="1" applyBorder="1" applyAlignment="1">
      <alignment horizontal="center"/>
    </xf>
    <xf numFmtId="14" fontId="18" fillId="4" borderId="55" xfId="0" applyNumberFormat="1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wrapText="1" shrinkToFit="1"/>
    </xf>
    <xf numFmtId="0" fontId="17" fillId="0" borderId="52" xfId="0" applyFont="1" applyBorder="1" applyAlignment="1">
      <alignment horizontal="center" wrapText="1" shrinkToFit="1"/>
    </xf>
    <xf numFmtId="0" fontId="17" fillId="0" borderId="53" xfId="0" applyFont="1" applyBorder="1" applyAlignment="1">
      <alignment horizontal="center" wrapText="1" shrinkToFit="1"/>
    </xf>
    <xf numFmtId="4" fontId="17" fillId="3" borderId="13" xfId="0" applyNumberFormat="1" applyFont="1" applyFill="1" applyBorder="1" applyAlignment="1">
      <alignment horizontal="center" vertical="center"/>
    </xf>
    <xf numFmtId="4" fontId="17" fillId="3" borderId="15" xfId="0" applyNumberFormat="1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left" wrapText="1" shrinkToFit="1"/>
    </xf>
    <xf numFmtId="0" fontId="17" fillId="4" borderId="47" xfId="0" applyFont="1" applyFill="1" applyBorder="1" applyAlignment="1">
      <alignment horizontal="left" wrapText="1" shrinkToFit="1"/>
    </xf>
    <xf numFmtId="0" fontId="15" fillId="4" borderId="28" xfId="0" applyFont="1" applyFill="1" applyBorder="1" applyAlignment="1">
      <alignment horizontal="left" vertical="center" wrapText="1" shrinkToFit="1"/>
    </xf>
    <xf numFmtId="0" fontId="15" fillId="4" borderId="29" xfId="0" applyFont="1" applyFill="1" applyBorder="1" applyAlignment="1">
      <alignment horizontal="left" vertical="center" wrapText="1" shrinkToFit="1"/>
    </xf>
    <xf numFmtId="0" fontId="15" fillId="4" borderId="30" xfId="0" applyFont="1" applyFill="1" applyBorder="1" applyAlignment="1">
      <alignment horizontal="left" vertical="center" wrapText="1" shrinkToFit="1"/>
    </xf>
    <xf numFmtId="0" fontId="15" fillId="4" borderId="34" xfId="0" applyFont="1" applyFill="1" applyBorder="1" applyAlignment="1">
      <alignment horizontal="left" vertical="center" wrapText="1" shrinkToFit="1"/>
    </xf>
    <xf numFmtId="0" fontId="15" fillId="4" borderId="2" xfId="0" applyFont="1" applyFill="1" applyBorder="1" applyAlignment="1">
      <alignment horizontal="left" vertical="center" wrapText="1" shrinkToFit="1"/>
    </xf>
    <xf numFmtId="0" fontId="15" fillId="4" borderId="45" xfId="0" applyFont="1" applyFill="1" applyBorder="1" applyAlignment="1">
      <alignment horizontal="left" vertical="center" wrapText="1" shrinkToFit="1"/>
    </xf>
    <xf numFmtId="0" fontId="15" fillId="4" borderId="56" xfId="0" applyFont="1" applyFill="1" applyBorder="1" applyAlignment="1">
      <alignment horizontal="left" vertical="center" wrapText="1" shrinkToFit="1"/>
    </xf>
    <xf numFmtId="0" fontId="15" fillId="4" borderId="48" xfId="0" applyFont="1" applyFill="1" applyBorder="1" applyAlignment="1">
      <alignment horizontal="left" vertical="center" wrapText="1" shrinkToFit="1"/>
    </xf>
    <xf numFmtId="0" fontId="15" fillId="4" borderId="28" xfId="0" applyFont="1" applyFill="1" applyBorder="1" applyAlignment="1">
      <alignment horizontal="center" vertical="center" wrapText="1" shrinkToFit="1"/>
    </xf>
    <xf numFmtId="0" fontId="15" fillId="4" borderId="29" xfId="0" applyFont="1" applyFill="1" applyBorder="1" applyAlignment="1">
      <alignment horizontal="center" vertical="center" wrapText="1" shrinkToFit="1"/>
    </xf>
    <xf numFmtId="0" fontId="15" fillId="4" borderId="13" xfId="0" applyFont="1" applyFill="1" applyBorder="1" applyAlignment="1">
      <alignment horizontal="center" vertical="center" wrapText="1" shrinkToFit="1"/>
    </xf>
    <xf numFmtId="0" fontId="15" fillId="4" borderId="14" xfId="0" applyFont="1" applyFill="1" applyBorder="1" applyAlignment="1">
      <alignment horizontal="center" vertical="center" wrapText="1" shrinkToFit="1"/>
    </xf>
    <xf numFmtId="0" fontId="15" fillId="4" borderId="15" xfId="0" applyFont="1" applyFill="1" applyBorder="1" applyAlignment="1">
      <alignment horizontal="center" vertical="center" wrapText="1" shrinkToFit="1"/>
    </xf>
    <xf numFmtId="0" fontId="15" fillId="4" borderId="44" xfId="0" applyFont="1" applyFill="1" applyBorder="1" applyAlignment="1">
      <alignment horizontal="left" vertical="center" wrapText="1" shrinkToFit="1"/>
    </xf>
    <xf numFmtId="0" fontId="15" fillId="4" borderId="47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39" fillId="4" borderId="44" xfId="709" applyFont="1" applyFill="1" applyBorder="1" applyAlignment="1">
      <alignment horizontal="left"/>
    </xf>
    <xf numFmtId="0" fontId="39" fillId="4" borderId="47" xfId="709" applyFont="1" applyFill="1" applyBorder="1" applyAlignment="1">
      <alignment horizontal="left"/>
    </xf>
    <xf numFmtId="0" fontId="24" fillId="4" borderId="19" xfId="0" applyFont="1" applyFill="1" applyBorder="1" applyAlignment="1">
      <alignment horizontal="center" wrapText="1"/>
    </xf>
    <xf numFmtId="0" fontId="24" fillId="4" borderId="0" xfId="0" applyFont="1" applyFill="1" applyAlignment="1">
      <alignment horizontal="center" wrapText="1"/>
    </xf>
    <xf numFmtId="0" fontId="24" fillId="4" borderId="20" xfId="0" applyFont="1" applyFill="1" applyBorder="1" applyAlignment="1">
      <alignment horizontal="center" wrapText="1"/>
    </xf>
    <xf numFmtId="0" fontId="37" fillId="4" borderId="16" xfId="709" applyFont="1" applyFill="1" applyBorder="1" applyAlignment="1">
      <alignment horizontal="center"/>
    </xf>
    <xf numFmtId="0" fontId="37" fillId="4" borderId="23" xfId="709" applyFont="1" applyFill="1" applyBorder="1" applyAlignment="1">
      <alignment horizontal="center"/>
    </xf>
    <xf numFmtId="0" fontId="37" fillId="4" borderId="17" xfId="709" applyFont="1" applyFill="1" applyBorder="1" applyAlignment="1">
      <alignment horizontal="center"/>
    </xf>
    <xf numFmtId="0" fontId="46" fillId="0" borderId="0" xfId="709" applyFont="1" applyAlignment="1">
      <alignment horizontal="center"/>
    </xf>
    <xf numFmtId="0" fontId="47" fillId="0" borderId="0" xfId="709" applyFont="1" applyAlignment="1">
      <alignment horizontal="center"/>
    </xf>
    <xf numFmtId="0" fontId="15" fillId="4" borderId="9" xfId="0" applyFont="1" applyFill="1" applyBorder="1" applyAlignment="1">
      <alignment horizontal="left" vertical="center" wrapText="1" shrinkToFit="1"/>
    </xf>
    <xf numFmtId="0" fontId="15" fillId="4" borderId="10" xfId="0" applyFont="1" applyFill="1" applyBorder="1" applyAlignment="1">
      <alignment horizontal="left" vertical="center" wrapText="1" shrinkToFit="1"/>
    </xf>
    <xf numFmtId="0" fontId="15" fillId="4" borderId="7" xfId="0" applyFont="1" applyFill="1" applyBorder="1" applyAlignment="1">
      <alignment horizontal="left" vertical="center" wrapText="1" shrinkToFit="1"/>
    </xf>
    <xf numFmtId="0" fontId="15" fillId="4" borderId="1" xfId="0" applyFont="1" applyFill="1" applyBorder="1" applyAlignment="1">
      <alignment horizontal="left" vertical="center" wrapText="1" shrinkToFit="1"/>
    </xf>
    <xf numFmtId="0" fontId="15" fillId="3" borderId="61" xfId="0" applyFont="1" applyFill="1" applyBorder="1" applyAlignment="1">
      <alignment horizontal="left" vertical="center" wrapText="1"/>
    </xf>
    <xf numFmtId="0" fontId="41" fillId="0" borderId="0" xfId="709" applyFont="1" applyAlignment="1">
      <alignment horizontal="center"/>
    </xf>
    <xf numFmtId="0" fontId="48" fillId="0" borderId="0" xfId="709" applyFont="1" applyAlignment="1">
      <alignment horizontal="left" vertical="center" wrapText="1"/>
    </xf>
    <xf numFmtId="0" fontId="39" fillId="0" borderId="0" xfId="709" applyFont="1" applyAlignment="1">
      <alignment horizontal="left" vertical="top" wrapText="1"/>
    </xf>
    <xf numFmtId="0" fontId="48" fillId="0" borderId="0" xfId="709" applyFont="1" applyAlignment="1">
      <alignment horizontal="left" vertical="top" wrapText="1"/>
    </xf>
    <xf numFmtId="0" fontId="14" fillId="3" borderId="0" xfId="0" applyFont="1" applyFill="1" applyAlignment="1">
      <alignment horizontal="center"/>
    </xf>
    <xf numFmtId="0" fontId="14" fillId="4" borderId="51" xfId="0" applyFont="1" applyFill="1" applyBorder="1" applyAlignment="1">
      <alignment horizontal="left" vertical="center" wrapText="1"/>
    </xf>
    <xf numFmtId="0" fontId="14" fillId="4" borderId="52" xfId="0" applyFont="1" applyFill="1" applyBorder="1" applyAlignment="1">
      <alignment horizontal="left" vertical="center" wrapText="1"/>
    </xf>
    <xf numFmtId="0" fontId="14" fillId="4" borderId="61" xfId="0" applyFont="1" applyFill="1" applyBorder="1" applyAlignment="1">
      <alignment horizontal="left" vertical="center" wrapText="1"/>
    </xf>
    <xf numFmtId="4" fontId="13" fillId="0" borderId="48" xfId="0" applyNumberFormat="1" applyFont="1" applyBorder="1" applyAlignment="1">
      <alignment horizontal="center"/>
    </xf>
    <xf numFmtId="4" fontId="13" fillId="0" borderId="36" xfId="0" applyNumberFormat="1" applyFont="1" applyBorder="1" applyAlignment="1">
      <alignment horizontal="center"/>
    </xf>
    <xf numFmtId="0" fontId="17" fillId="4" borderId="13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  <xf numFmtId="4" fontId="13" fillId="0" borderId="14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164" fontId="40" fillId="0" borderId="68" xfId="80" applyFont="1" applyBorder="1" applyAlignment="1">
      <alignment horizontal="center" vertical="center" wrapText="1"/>
    </xf>
    <xf numFmtId="164" fontId="40" fillId="0" borderId="46" xfId="80" applyFont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left"/>
    </xf>
    <xf numFmtId="0" fontId="17" fillId="4" borderId="52" xfId="0" applyFont="1" applyFill="1" applyBorder="1" applyAlignment="1">
      <alignment horizontal="left"/>
    </xf>
    <xf numFmtId="0" fontId="17" fillId="4" borderId="53" xfId="0" applyFont="1" applyFill="1" applyBorder="1" applyAlignment="1">
      <alignment horizontal="left"/>
    </xf>
    <xf numFmtId="4" fontId="13" fillId="0" borderId="52" xfId="0" applyNumberFormat="1" applyFont="1" applyBorder="1" applyAlignment="1">
      <alignment horizontal="center"/>
    </xf>
    <xf numFmtId="4" fontId="13" fillId="0" borderId="53" xfId="0" applyNumberFormat="1" applyFont="1" applyBorder="1" applyAlignment="1">
      <alignment horizontal="center"/>
    </xf>
    <xf numFmtId="4" fontId="13" fillId="0" borderId="51" xfId="0" applyNumberFormat="1" applyFont="1" applyBorder="1" applyAlignment="1">
      <alignment horizontal="center"/>
    </xf>
    <xf numFmtId="0" fontId="73" fillId="4" borderId="19" xfId="709" applyFont="1" applyFill="1" applyBorder="1" applyAlignment="1">
      <alignment horizontal="center" wrapText="1"/>
    </xf>
    <xf numFmtId="0" fontId="73" fillId="4" borderId="0" xfId="709" applyFont="1" applyFill="1" applyAlignment="1">
      <alignment horizontal="center" wrapText="1"/>
    </xf>
    <xf numFmtId="0" fontId="73" fillId="4" borderId="20" xfId="709" applyFont="1" applyFill="1" applyBorder="1" applyAlignment="1">
      <alignment horizontal="center" wrapText="1"/>
    </xf>
    <xf numFmtId="0" fontId="73" fillId="4" borderId="21" xfId="709" applyFont="1" applyFill="1" applyBorder="1" applyAlignment="1">
      <alignment horizontal="center" wrapText="1"/>
    </xf>
    <xf numFmtId="0" fontId="73" fillId="4" borderId="24" xfId="709" applyFont="1" applyFill="1" applyBorder="1" applyAlignment="1">
      <alignment horizontal="center" wrapText="1"/>
    </xf>
    <xf numFmtId="0" fontId="73" fillId="4" borderId="22" xfId="709" applyFont="1" applyFill="1" applyBorder="1" applyAlignment="1">
      <alignment horizontal="center" wrapText="1"/>
    </xf>
    <xf numFmtId="0" fontId="15" fillId="4" borderId="19" xfId="0" applyFont="1" applyFill="1" applyBorder="1" applyAlignment="1">
      <alignment horizontal="center" vertical="center" wrapText="1" shrinkToFit="1"/>
    </xf>
    <xf numFmtId="0" fontId="15" fillId="4" borderId="0" xfId="0" applyFont="1" applyFill="1" applyAlignment="1">
      <alignment horizontal="center" vertical="center" wrapText="1" shrinkToFit="1"/>
    </xf>
    <xf numFmtId="0" fontId="15" fillId="4" borderId="16" xfId="0" applyFont="1" applyFill="1" applyBorder="1" applyAlignment="1">
      <alignment horizontal="center" vertical="center" wrapText="1" shrinkToFit="1"/>
    </xf>
    <xf numFmtId="0" fontId="15" fillId="4" borderId="23" xfId="0" applyFont="1" applyFill="1" applyBorder="1" applyAlignment="1">
      <alignment horizontal="center" vertical="center" wrapText="1" shrinkToFit="1"/>
    </xf>
    <xf numFmtId="0" fontId="15" fillId="4" borderId="17" xfId="0" applyFont="1" applyFill="1" applyBorder="1" applyAlignment="1">
      <alignment horizontal="center" vertical="center" wrapText="1" shrinkToFit="1"/>
    </xf>
    <xf numFmtId="0" fontId="15" fillId="4" borderId="19" xfId="0" applyFont="1" applyFill="1" applyBorder="1" applyAlignment="1">
      <alignment horizontal="left" vertical="center" wrapText="1" shrinkToFit="1"/>
    </xf>
    <xf numFmtId="0" fontId="15" fillId="4" borderId="0" xfId="0" applyFont="1" applyFill="1" applyAlignment="1">
      <alignment horizontal="left" vertical="center" wrapText="1" shrinkToFit="1"/>
    </xf>
    <xf numFmtId="0" fontId="15" fillId="4" borderId="20" xfId="0" applyFont="1" applyFill="1" applyBorder="1" applyAlignment="1">
      <alignment horizontal="left" vertical="center" wrapText="1" shrinkToFit="1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Alignment="1">
      <alignment horizontal="left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43" fillId="0" borderId="23" xfId="709" applyFont="1" applyBorder="1" applyAlignment="1">
      <alignment horizontal="center"/>
    </xf>
    <xf numFmtId="164" fontId="40" fillId="0" borderId="43" xfId="8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4" borderId="27" xfId="0" applyFont="1" applyFill="1" applyBorder="1" applyAlignment="1">
      <alignment horizontal="left" vertical="center" wrapText="1" shrinkToFit="1"/>
    </xf>
    <xf numFmtId="0" fontId="54" fillId="4" borderId="13" xfId="709" applyFont="1" applyFill="1" applyBorder="1" applyAlignment="1">
      <alignment horizontal="center" vertical="center" wrapText="1"/>
    </xf>
    <xf numFmtId="0" fontId="54" fillId="4" borderId="15" xfId="709" applyFont="1" applyFill="1" applyBorder="1" applyAlignment="1">
      <alignment horizontal="center" vertical="center" wrapText="1"/>
    </xf>
    <xf numFmtId="4" fontId="39" fillId="0" borderId="44" xfId="709" applyNumberFormat="1" applyFont="1" applyBorder="1" applyAlignment="1">
      <alignment horizontal="center" vertical="center" wrapText="1"/>
    </xf>
    <xf numFmtId="4" fontId="39" fillId="0" borderId="27" xfId="709" applyNumberFormat="1" applyFont="1" applyBorder="1" applyAlignment="1">
      <alignment horizontal="center" vertical="center" wrapText="1"/>
    </xf>
    <xf numFmtId="4" fontId="39" fillId="0" borderId="56" xfId="709" applyNumberFormat="1" applyFont="1" applyBorder="1" applyAlignment="1">
      <alignment horizontal="center" vertical="center" wrapText="1"/>
    </xf>
    <xf numFmtId="4" fontId="39" fillId="0" borderId="36" xfId="709" applyNumberFormat="1" applyFont="1" applyBorder="1" applyAlignment="1">
      <alignment horizontal="center" vertical="center" wrapText="1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48" fillId="0" borderId="0" xfId="709" applyFont="1" applyAlignment="1">
      <alignment horizontal="center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0" fontId="15" fillId="4" borderId="51" xfId="0" applyFont="1" applyFill="1" applyBorder="1" applyAlignment="1">
      <alignment horizontal="center" vertical="center" wrapText="1" shrinkToFit="1"/>
    </xf>
    <xf numFmtId="0" fontId="15" fillId="4" borderId="52" xfId="0" applyFont="1" applyFill="1" applyBorder="1" applyAlignment="1">
      <alignment horizontal="center" vertical="center" wrapText="1" shrinkToFit="1"/>
    </xf>
    <xf numFmtId="0" fontId="15" fillId="4" borderId="53" xfId="0" applyFont="1" applyFill="1" applyBorder="1" applyAlignment="1">
      <alignment horizontal="center" vertical="center" wrapText="1" shrinkToFit="1"/>
    </xf>
    <xf numFmtId="0" fontId="15" fillId="4" borderId="13" xfId="0" applyFont="1" applyFill="1" applyBorder="1" applyAlignment="1">
      <alignment horizontal="left" vertical="center" wrapText="1" shrinkToFit="1"/>
    </xf>
    <xf numFmtId="0" fontId="15" fillId="4" borderId="14" xfId="0" applyFont="1" applyFill="1" applyBorder="1" applyAlignment="1">
      <alignment horizontal="left" vertical="center" wrapText="1" shrinkToFit="1"/>
    </xf>
    <xf numFmtId="0" fontId="39" fillId="4" borderId="51" xfId="709" applyFont="1" applyFill="1" applyBorder="1" applyAlignment="1">
      <alignment horizontal="center"/>
    </xf>
    <xf numFmtId="0" fontId="39" fillId="4" borderId="52" xfId="709" applyFont="1" applyFill="1" applyBorder="1" applyAlignment="1">
      <alignment horizontal="center"/>
    </xf>
    <xf numFmtId="0" fontId="39" fillId="4" borderId="53" xfId="709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 vertical="center"/>
    </xf>
    <xf numFmtId="0" fontId="12" fillId="4" borderId="53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left" vertical="center"/>
    </xf>
    <xf numFmtId="0" fontId="13" fillId="4" borderId="47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0" fontId="63" fillId="4" borderId="21" xfId="709" applyFont="1" applyFill="1" applyBorder="1" applyAlignment="1">
      <alignment horizontal="center"/>
    </xf>
    <xf numFmtId="0" fontId="63" fillId="4" borderId="24" xfId="709" applyFont="1" applyFill="1" applyBorder="1" applyAlignment="1">
      <alignment horizontal="center"/>
    </xf>
    <xf numFmtId="0" fontId="63" fillId="4" borderId="22" xfId="709" applyFont="1" applyFill="1" applyBorder="1" applyAlignment="1">
      <alignment horizontal="center"/>
    </xf>
    <xf numFmtId="0" fontId="42" fillId="4" borderId="51" xfId="709" applyFont="1" applyFill="1" applyBorder="1" applyAlignment="1">
      <alignment horizontal="center"/>
    </xf>
    <xf numFmtId="0" fontId="42" fillId="4" borderId="52" xfId="709" applyFont="1" applyFill="1" applyBorder="1" applyAlignment="1">
      <alignment horizontal="center"/>
    </xf>
    <xf numFmtId="0" fontId="42" fillId="4" borderId="53" xfId="709" applyFont="1" applyFill="1" applyBorder="1" applyAlignment="1">
      <alignment horizontal="center"/>
    </xf>
    <xf numFmtId="0" fontId="42" fillId="4" borderId="23" xfId="709" applyFont="1" applyFill="1" applyBorder="1" applyAlignment="1">
      <alignment horizontal="center"/>
    </xf>
    <xf numFmtId="0" fontId="42" fillId="4" borderId="17" xfId="709" applyFont="1" applyFill="1" applyBorder="1" applyAlignment="1">
      <alignment horizontal="center"/>
    </xf>
    <xf numFmtId="0" fontId="17" fillId="4" borderId="21" xfId="0" quotePrefix="1" applyFont="1" applyFill="1" applyBorder="1" applyAlignment="1">
      <alignment horizontal="center" vertical="center" wrapText="1"/>
    </xf>
    <xf numFmtId="0" fontId="17" fillId="4" borderId="24" xfId="0" quotePrefix="1" applyFont="1" applyFill="1" applyBorder="1" applyAlignment="1">
      <alignment horizontal="center" vertical="center" wrapText="1"/>
    </xf>
    <xf numFmtId="0" fontId="17" fillId="4" borderId="22" xfId="0" quotePrefix="1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53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/>
    </xf>
    <xf numFmtId="0" fontId="13" fillId="4" borderId="52" xfId="0" applyFont="1" applyFill="1" applyBorder="1" applyAlignment="1">
      <alignment horizontal="left"/>
    </xf>
    <xf numFmtId="0" fontId="13" fillId="4" borderId="53" xfId="0" applyFont="1" applyFill="1" applyBorder="1" applyAlignment="1">
      <alignment horizontal="left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14" fontId="12" fillId="4" borderId="21" xfId="0" applyNumberFormat="1" applyFont="1" applyFill="1" applyBorder="1" applyAlignment="1">
      <alignment horizontal="center" vertical="center"/>
    </xf>
    <xf numFmtId="14" fontId="12" fillId="4" borderId="22" xfId="0" applyNumberFormat="1" applyFont="1" applyFill="1" applyBorder="1" applyAlignment="1">
      <alignment horizontal="center" vertical="center"/>
    </xf>
    <xf numFmtId="2" fontId="13" fillId="3" borderId="51" xfId="0" applyNumberFormat="1" applyFont="1" applyFill="1" applyBorder="1" applyAlignment="1">
      <alignment horizontal="center" vertical="center"/>
    </xf>
    <xf numFmtId="2" fontId="13" fillId="3" borderId="53" xfId="0" applyNumberFormat="1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horizontal="center" wrapText="1"/>
    </xf>
    <xf numFmtId="0" fontId="62" fillId="4" borderId="24" xfId="0" applyFont="1" applyFill="1" applyBorder="1" applyAlignment="1">
      <alignment horizontal="center" wrapText="1"/>
    </xf>
    <xf numFmtId="0" fontId="62" fillId="4" borderId="2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4" fillId="4" borderId="51" xfId="0" applyFont="1" applyFill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left" vertical="center"/>
    </xf>
    <xf numFmtId="0" fontId="15" fillId="3" borderId="48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0" fontId="15" fillId="4" borderId="54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164" fontId="15" fillId="0" borderId="47" xfId="80" applyFont="1" applyBorder="1" applyAlignment="1">
      <alignment horizontal="center" vertical="center"/>
    </xf>
    <xf numFmtId="0" fontId="24" fillId="4" borderId="51" xfId="0" applyFont="1" applyFill="1" applyBorder="1" applyAlignment="1">
      <alignment horizontal="center" vertical="center"/>
    </xf>
    <xf numFmtId="0" fontId="24" fillId="4" borderId="52" xfId="0" applyFont="1" applyFill="1" applyBorder="1" applyAlignment="1">
      <alignment horizontal="center" vertical="center"/>
    </xf>
    <xf numFmtId="0" fontId="24" fillId="4" borderId="53" xfId="0" applyFont="1" applyFill="1" applyBorder="1" applyAlignment="1">
      <alignment horizontal="center" vertical="center"/>
    </xf>
    <xf numFmtId="164" fontId="15" fillId="3" borderId="2" xfId="80" applyFont="1" applyFill="1" applyBorder="1" applyAlignment="1">
      <alignment horizontal="center" vertical="center"/>
    </xf>
    <xf numFmtId="164" fontId="15" fillId="0" borderId="44" xfId="80" applyFont="1" applyBorder="1" applyAlignment="1">
      <alignment horizontal="center" vertical="center"/>
    </xf>
    <xf numFmtId="164" fontId="15" fillId="0" borderId="27" xfId="80" applyFont="1" applyBorder="1" applyAlignment="1">
      <alignment horizontal="center" vertical="center"/>
    </xf>
    <xf numFmtId="164" fontId="15" fillId="0" borderId="41" xfId="80" applyFont="1" applyBorder="1" applyAlignment="1">
      <alignment horizontal="center" vertical="center"/>
    </xf>
    <xf numFmtId="0" fontId="37" fillId="4" borderId="51" xfId="0" applyFont="1" applyFill="1" applyBorder="1" applyAlignment="1">
      <alignment horizontal="center" vertical="center"/>
    </xf>
    <xf numFmtId="0" fontId="37" fillId="4" borderId="52" xfId="0" applyFont="1" applyFill="1" applyBorder="1" applyAlignment="1">
      <alignment horizontal="center" vertical="center"/>
    </xf>
    <xf numFmtId="0" fontId="37" fillId="4" borderId="53" xfId="0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69" xfId="0" applyFont="1" applyFill="1" applyBorder="1" applyAlignment="1">
      <alignment horizontal="left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/>
    </xf>
    <xf numFmtId="0" fontId="13" fillId="3" borderId="23" xfId="0" applyFont="1" applyFill="1" applyBorder="1" applyAlignment="1">
      <alignment horizontal="left"/>
    </xf>
    <xf numFmtId="164" fontId="15" fillId="0" borderId="13" xfId="80" applyFont="1" applyBorder="1" applyAlignment="1">
      <alignment horizontal="center" vertical="center"/>
    </xf>
    <xf numFmtId="164" fontId="15" fillId="0" borderId="15" xfId="80" applyFont="1" applyBorder="1" applyAlignment="1">
      <alignment horizontal="center" vertical="center"/>
    </xf>
    <xf numFmtId="164" fontId="15" fillId="0" borderId="56" xfId="80" applyFont="1" applyBorder="1" applyAlignment="1">
      <alignment horizontal="center" vertical="center"/>
    </xf>
    <xf numFmtId="164" fontId="15" fillId="0" borderId="36" xfId="80" applyFont="1" applyBorder="1" applyAlignment="1">
      <alignment horizontal="center" vertical="center"/>
    </xf>
    <xf numFmtId="164" fontId="15" fillId="0" borderId="51" xfId="80" applyFont="1" applyBorder="1" applyAlignment="1">
      <alignment horizontal="center" vertical="center"/>
    </xf>
    <xf numFmtId="164" fontId="15" fillId="0" borderId="53" xfId="80" applyFont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69" fillId="3" borderId="23" xfId="0" applyFont="1" applyFill="1" applyBorder="1" applyAlignment="1">
      <alignment horizontal="left"/>
    </xf>
    <xf numFmtId="0" fontId="18" fillId="4" borderId="21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4" fontId="15" fillId="4" borderId="21" xfId="0" applyNumberFormat="1" applyFont="1" applyFill="1" applyBorder="1" applyAlignment="1">
      <alignment horizontal="center" vertical="center" wrapText="1"/>
    </xf>
    <xf numFmtId="14" fontId="15" fillId="4" borderId="24" xfId="0" applyNumberFormat="1" applyFont="1" applyFill="1" applyBorder="1" applyAlignment="1">
      <alignment horizontal="center" vertical="center" wrapText="1"/>
    </xf>
    <xf numFmtId="14" fontId="15" fillId="4" borderId="22" xfId="0" applyNumberFormat="1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70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left" vertical="center"/>
    </xf>
    <xf numFmtId="0" fontId="14" fillId="4" borderId="52" xfId="0" applyFont="1" applyFill="1" applyBorder="1" applyAlignment="1">
      <alignment horizontal="left" vertical="center"/>
    </xf>
    <xf numFmtId="0" fontId="14" fillId="4" borderId="61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70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24" xfId="0" applyFont="1" applyFill="1" applyBorder="1" applyAlignment="1">
      <alignment horizontal="left" vertical="center" wrapText="1"/>
    </xf>
    <xf numFmtId="0" fontId="19" fillId="3" borderId="32" xfId="0" applyFont="1" applyFill="1" applyBorder="1" applyAlignment="1">
      <alignment horizontal="left" vertical="center" wrapText="1"/>
    </xf>
    <xf numFmtId="2" fontId="13" fillId="3" borderId="60" xfId="0" applyNumberFormat="1" applyFont="1" applyFill="1" applyBorder="1" applyAlignment="1">
      <alignment horizontal="center" vertical="center" wrapText="1"/>
    </xf>
    <xf numFmtId="2" fontId="13" fillId="3" borderId="55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center"/>
    </xf>
    <xf numFmtId="0" fontId="15" fillId="4" borderId="42" xfId="0" applyFont="1" applyFill="1" applyBorder="1" applyAlignment="1">
      <alignment horizontal="center" vertical="center"/>
    </xf>
    <xf numFmtId="4" fontId="19" fillId="3" borderId="14" xfId="0" applyNumberFormat="1" applyFont="1" applyFill="1" applyBorder="1" applyAlignment="1">
      <alignment horizontal="center"/>
    </xf>
    <xf numFmtId="4" fontId="19" fillId="3" borderId="15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4" fontId="19" fillId="3" borderId="2" xfId="0" applyNumberFormat="1" applyFont="1" applyFill="1" applyBorder="1" applyAlignment="1">
      <alignment horizontal="center"/>
    </xf>
    <xf numFmtId="4" fontId="19" fillId="3" borderId="45" xfId="0" applyNumberFormat="1" applyFont="1" applyFill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0" borderId="15" xfId="0" applyNumberFormat="1" applyFont="1" applyBorder="1" applyAlignment="1">
      <alignment horizontal="center"/>
    </xf>
    <xf numFmtId="3" fontId="19" fillId="0" borderId="44" xfId="0" applyNumberFormat="1" applyFont="1" applyBorder="1" applyAlignment="1">
      <alignment horizontal="center"/>
    </xf>
    <xf numFmtId="3" fontId="19" fillId="0" borderId="47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4" fontId="19" fillId="3" borderId="24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3" fontId="19" fillId="0" borderId="56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0" fontId="27" fillId="4" borderId="51" xfId="0" applyFont="1" applyFill="1" applyBorder="1" applyAlignment="1">
      <alignment horizontal="center"/>
    </xf>
    <xf numFmtId="0" fontId="27" fillId="4" borderId="52" xfId="0" applyFont="1" applyFill="1" applyBorder="1" applyAlignment="1">
      <alignment horizontal="center"/>
    </xf>
    <xf numFmtId="0" fontId="27" fillId="4" borderId="53" xfId="0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5" fillId="3" borderId="44" xfId="0" applyFont="1" applyFill="1" applyBorder="1" applyAlignment="1">
      <alignment horizontal="left"/>
    </xf>
    <xf numFmtId="0" fontId="15" fillId="3" borderId="47" xfId="0" applyFont="1" applyFill="1" applyBorder="1" applyAlignment="1">
      <alignment horizontal="left"/>
    </xf>
    <xf numFmtId="0" fontId="18" fillId="4" borderId="16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/>
    </xf>
    <xf numFmtId="14" fontId="19" fillId="3" borderId="44" xfId="0" applyNumberFormat="1" applyFont="1" applyFill="1" applyBorder="1" applyAlignment="1">
      <alignment horizontal="center"/>
    </xf>
    <xf numFmtId="14" fontId="19" fillId="3" borderId="47" xfId="0" applyNumberFormat="1" applyFont="1" applyFill="1" applyBorder="1" applyAlignment="1">
      <alignment horizontal="center"/>
    </xf>
    <xf numFmtId="14" fontId="19" fillId="3" borderId="27" xfId="0" applyNumberFormat="1" applyFont="1" applyFill="1" applyBorder="1" applyAlignment="1">
      <alignment horizontal="center"/>
    </xf>
    <xf numFmtId="0" fontId="53" fillId="3" borderId="0" xfId="0" applyFont="1" applyFill="1" applyAlignment="1">
      <alignment horizontal="left" vertical="center" wrapText="1"/>
    </xf>
    <xf numFmtId="0" fontId="15" fillId="3" borderId="56" xfId="0" applyFont="1" applyFill="1" applyBorder="1" applyAlignment="1">
      <alignment horizontal="left"/>
    </xf>
    <xf numFmtId="0" fontId="15" fillId="3" borderId="48" xfId="0" applyFont="1" applyFill="1" applyBorder="1" applyAlignment="1">
      <alignment horizontal="left"/>
    </xf>
    <xf numFmtId="0" fontId="15" fillId="3" borderId="44" xfId="0" applyFont="1" applyFill="1" applyBorder="1" applyAlignment="1">
      <alignment horizontal="left" vertical="center"/>
    </xf>
    <xf numFmtId="0" fontId="15" fillId="3" borderId="47" xfId="0" applyFont="1" applyFill="1" applyBorder="1" applyAlignment="1">
      <alignment horizontal="left" vertical="center"/>
    </xf>
    <xf numFmtId="0" fontId="15" fillId="3" borderId="28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166" fontId="13" fillId="3" borderId="21" xfId="0" applyNumberFormat="1" applyFont="1" applyFill="1" applyBorder="1" applyAlignment="1">
      <alignment horizontal="center"/>
    </xf>
    <xf numFmtId="166" fontId="13" fillId="3" borderId="24" xfId="0" applyNumberFormat="1" applyFont="1" applyFill="1" applyBorder="1" applyAlignment="1">
      <alignment horizontal="center"/>
    </xf>
    <xf numFmtId="166" fontId="13" fillId="3" borderId="22" xfId="0" applyNumberFormat="1" applyFont="1" applyFill="1" applyBorder="1" applyAlignment="1">
      <alignment horizontal="center"/>
    </xf>
    <xf numFmtId="166" fontId="19" fillId="3" borderId="44" xfId="0" applyNumberFormat="1" applyFont="1" applyFill="1" applyBorder="1" applyAlignment="1">
      <alignment horizontal="center"/>
    </xf>
    <xf numFmtId="166" fontId="19" fillId="3" borderId="47" xfId="0" applyNumberFormat="1" applyFont="1" applyFill="1" applyBorder="1" applyAlignment="1">
      <alignment horizontal="center"/>
    </xf>
    <xf numFmtId="166" fontId="19" fillId="3" borderId="27" xfId="0" applyNumberFormat="1" applyFont="1" applyFill="1" applyBorder="1" applyAlignment="1">
      <alignment horizontal="center"/>
    </xf>
    <xf numFmtId="14" fontId="29" fillId="10" borderId="44" xfId="0" applyNumberFormat="1" applyFont="1" applyFill="1" applyBorder="1" applyAlignment="1">
      <alignment horizontal="center"/>
    </xf>
    <xf numFmtId="14" fontId="29" fillId="10" borderId="47" xfId="0" applyNumberFormat="1" applyFont="1" applyFill="1" applyBorder="1" applyAlignment="1">
      <alignment horizontal="center"/>
    </xf>
    <xf numFmtId="14" fontId="29" fillId="10" borderId="27" xfId="0" applyNumberFormat="1" applyFont="1" applyFill="1" applyBorder="1" applyAlignment="1">
      <alignment horizontal="center"/>
    </xf>
    <xf numFmtId="14" fontId="19" fillId="3" borderId="19" xfId="0" applyNumberFormat="1" applyFont="1" applyFill="1" applyBorder="1" applyAlignment="1">
      <alignment horizontal="center"/>
    </xf>
    <xf numFmtId="14" fontId="19" fillId="3" borderId="0" xfId="0" applyNumberFormat="1" applyFont="1" applyFill="1" applyAlignment="1">
      <alignment horizontal="center"/>
    </xf>
    <xf numFmtId="14" fontId="19" fillId="3" borderId="20" xfId="0" applyNumberFormat="1" applyFont="1" applyFill="1" applyBorder="1" applyAlignment="1">
      <alignment horizontal="center"/>
    </xf>
    <xf numFmtId="166" fontId="19" fillId="3" borderId="19" xfId="0" applyNumberFormat="1" applyFont="1" applyFill="1" applyBorder="1" applyAlignment="1">
      <alignment horizontal="center"/>
    </xf>
    <xf numFmtId="166" fontId="19" fillId="3" borderId="0" xfId="0" applyNumberFormat="1" applyFont="1" applyFill="1" applyAlignment="1">
      <alignment horizontal="center"/>
    </xf>
    <xf numFmtId="166" fontId="19" fillId="3" borderId="20" xfId="0" applyNumberFormat="1" applyFont="1" applyFill="1" applyBorder="1" applyAlignment="1">
      <alignment horizontal="center"/>
    </xf>
    <xf numFmtId="14" fontId="19" fillId="3" borderId="49" xfId="0" applyNumberFormat="1" applyFont="1" applyFill="1" applyBorder="1" applyAlignment="1">
      <alignment horizontal="center"/>
    </xf>
    <xf numFmtId="166" fontId="13" fillId="3" borderId="49" xfId="0" applyNumberFormat="1" applyFont="1" applyFill="1" applyBorder="1" applyAlignment="1">
      <alignment horizontal="center"/>
    </xf>
    <xf numFmtId="166" fontId="19" fillId="3" borderId="49" xfId="0" applyNumberFormat="1" applyFont="1" applyFill="1" applyBorder="1" applyAlignment="1">
      <alignment horizontal="center"/>
    </xf>
    <xf numFmtId="166" fontId="13" fillId="3" borderId="44" xfId="0" applyNumberFormat="1" applyFont="1" applyFill="1" applyBorder="1" applyAlignment="1">
      <alignment horizontal="center"/>
    </xf>
    <xf numFmtId="166" fontId="13" fillId="3" borderId="47" xfId="0" applyNumberFormat="1" applyFont="1" applyFill="1" applyBorder="1" applyAlignment="1">
      <alignment horizontal="center"/>
    </xf>
    <xf numFmtId="166" fontId="13" fillId="3" borderId="27" xfId="0" applyNumberFormat="1" applyFont="1" applyFill="1" applyBorder="1" applyAlignment="1">
      <alignment horizontal="center"/>
    </xf>
    <xf numFmtId="0" fontId="20" fillId="4" borderId="51" xfId="0" applyFont="1" applyFill="1" applyBorder="1" applyAlignment="1">
      <alignment horizontal="center"/>
    </xf>
    <xf numFmtId="0" fontId="20" fillId="4" borderId="52" xfId="0" applyFont="1" applyFill="1" applyBorder="1" applyAlignment="1">
      <alignment horizontal="center"/>
    </xf>
    <xf numFmtId="0" fontId="20" fillId="4" borderId="53" xfId="0" applyFont="1" applyFill="1" applyBorder="1" applyAlignment="1">
      <alignment horizontal="center"/>
    </xf>
    <xf numFmtId="14" fontId="19" fillId="3" borderId="28" xfId="0" applyNumberFormat="1" applyFont="1" applyFill="1" applyBorder="1" applyAlignment="1">
      <alignment horizontal="center"/>
    </xf>
    <xf numFmtId="14" fontId="19" fillId="3" borderId="29" xfId="0" applyNumberFormat="1" applyFont="1" applyFill="1" applyBorder="1" applyAlignment="1">
      <alignment horizontal="center"/>
    </xf>
    <xf numFmtId="14" fontId="19" fillId="3" borderId="30" xfId="0" applyNumberFormat="1" applyFont="1" applyFill="1" applyBorder="1" applyAlignment="1">
      <alignment horizontal="center"/>
    </xf>
    <xf numFmtId="14" fontId="19" fillId="3" borderId="43" xfId="0" applyNumberFormat="1" applyFont="1" applyFill="1" applyBorder="1" applyAlignment="1">
      <alignment horizontal="center"/>
    </xf>
    <xf numFmtId="0" fontId="39" fillId="3" borderId="44" xfId="709" applyFont="1" applyFill="1" applyBorder="1" applyAlignment="1">
      <alignment horizontal="left"/>
    </xf>
    <xf numFmtId="0" fontId="39" fillId="3" borderId="47" xfId="709" applyFont="1" applyFill="1" applyBorder="1" applyAlignment="1">
      <alignment horizontal="left"/>
    </xf>
    <xf numFmtId="0" fontId="39" fillId="3" borderId="56" xfId="709" applyFont="1" applyFill="1" applyBorder="1" applyAlignment="1">
      <alignment horizontal="left"/>
    </xf>
    <xf numFmtId="0" fontId="39" fillId="3" borderId="48" xfId="709" applyFont="1" applyFill="1" applyBorder="1" applyAlignment="1">
      <alignment horizontal="left"/>
    </xf>
    <xf numFmtId="0" fontId="15" fillId="3" borderId="19" xfId="0" applyFont="1" applyFill="1" applyBorder="1" applyAlignment="1">
      <alignment horizontal="left" vertical="top" wrapText="1" shrinkToFit="1"/>
    </xf>
    <xf numFmtId="0" fontId="15" fillId="3" borderId="0" xfId="0" applyFont="1" applyFill="1" applyAlignment="1">
      <alignment horizontal="left" vertical="top" wrapText="1" shrinkToFit="1"/>
    </xf>
    <xf numFmtId="0" fontId="15" fillId="3" borderId="34" xfId="0" applyFont="1" applyFill="1" applyBorder="1" applyAlignment="1">
      <alignment horizontal="left" vertical="top" wrapText="1" shrinkToFit="1"/>
    </xf>
    <xf numFmtId="0" fontId="15" fillId="3" borderId="2" xfId="0" applyFont="1" applyFill="1" applyBorder="1" applyAlignment="1">
      <alignment horizontal="left" vertical="top" wrapText="1" shrinkToFit="1"/>
    </xf>
    <xf numFmtId="0" fontId="15" fillId="3" borderId="0" xfId="0" applyFont="1" applyFill="1" applyAlignment="1">
      <alignment horizontal="left" wrapText="1" shrinkToFit="1"/>
    </xf>
    <xf numFmtId="0" fontId="15" fillId="3" borderId="2" xfId="0" applyFont="1" applyFill="1" applyBorder="1" applyAlignment="1">
      <alignment horizontal="left" wrapText="1" shrinkToFit="1"/>
    </xf>
    <xf numFmtId="4" fontId="15" fillId="0" borderId="54" xfId="0" applyNumberFormat="1" applyFont="1" applyBorder="1" applyAlignment="1">
      <alignment horizontal="center"/>
    </xf>
    <xf numFmtId="4" fontId="15" fillId="0" borderId="46" xfId="0" applyNumberFormat="1" applyFont="1" applyBorder="1" applyAlignment="1">
      <alignment horizontal="center"/>
    </xf>
    <xf numFmtId="2" fontId="15" fillId="0" borderId="20" xfId="0" applyNumberFormat="1" applyFont="1" applyBorder="1" applyAlignment="1">
      <alignment horizontal="center"/>
    </xf>
    <xf numFmtId="2" fontId="15" fillId="0" borderId="45" xfId="0" applyNumberFormat="1" applyFont="1" applyBorder="1" applyAlignment="1">
      <alignment horizontal="center"/>
    </xf>
    <xf numFmtId="0" fontId="15" fillId="3" borderId="44" xfId="0" applyFont="1" applyFill="1" applyBorder="1" applyAlignment="1">
      <alignment horizontal="left" wrapText="1" shrinkToFit="1"/>
    </xf>
    <xf numFmtId="0" fontId="15" fillId="3" borderId="47" xfId="0" applyFont="1" applyFill="1" applyBorder="1" applyAlignment="1">
      <alignment horizontal="left" wrapText="1" shrinkToFit="1"/>
    </xf>
    <xf numFmtId="0" fontId="15" fillId="3" borderId="13" xfId="0" applyFont="1" applyFill="1" applyBorder="1" applyAlignment="1">
      <alignment horizontal="left" wrapText="1" shrinkToFit="1"/>
    </xf>
    <xf numFmtId="0" fontId="15" fillId="3" borderId="14" xfId="0" applyFont="1" applyFill="1" applyBorder="1" applyAlignment="1">
      <alignment horizontal="left" wrapText="1" shrinkToFit="1"/>
    </xf>
    <xf numFmtId="0" fontId="15" fillId="4" borderId="46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50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5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wrapText="1"/>
    </xf>
  </cellXfs>
  <cellStyles count="1470">
    <cellStyle name="1000-sep (2 dec) 2" xfId="773" xr:uid="{00000000-0005-0000-0000-00000000000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Besøgt link" xfId="1435" builtinId="9" hidden="1"/>
    <cellStyle name="Besøgt link" xfId="1437" builtinId="9" hidden="1"/>
    <cellStyle name="Besøgt link" xfId="1439" builtinId="9" hidden="1"/>
    <cellStyle name="Besøgt link" xfId="1441" builtinId="9" hidden="1"/>
    <cellStyle name="Besøgt link" xfId="1443" builtinId="9" hidden="1"/>
    <cellStyle name="Besøgt link" xfId="1445" builtinId="9" hidden="1"/>
    <cellStyle name="Besøgt link" xfId="1447" builtinId="9" hidden="1"/>
    <cellStyle name="Besøgt link" xfId="1449" builtinId="9" hidden="1"/>
    <cellStyle name="Besøgt link" xfId="1451" builtinId="9" hidden="1"/>
    <cellStyle name="Besøgt link" xfId="1453" builtinId="9" hidden="1"/>
    <cellStyle name="Besøgt link" xfId="1455" builtinId="9" hidden="1"/>
    <cellStyle name="Besøgt link" xfId="1457" builtinId="9" hidden="1"/>
    <cellStyle name="Besøgt link" xfId="1459" builtinId="9" hidden="1"/>
    <cellStyle name="Besøgt link" xfId="1461" builtinId="9" hidden="1"/>
    <cellStyle name="Besøgt link" xfId="1463" builtinId="9" hidden="1"/>
    <cellStyle name="Besøgt link" xfId="1465" builtinId="9" hidden="1"/>
    <cellStyle name="Besøgt link" xfId="1467" builtinId="9" hidden="1"/>
    <cellStyle name="Besøgt link" xfId="1469" builtinId="9" hidden="1"/>
    <cellStyle name="Komma" xfId="80" builtinId="3"/>
    <cellStyle name="komma0" xfId="35" xr:uid="{00000000-0005-0000-0000-0000B8050000}"/>
    <cellStyle name="komma0 2" xfId="772" xr:uid="{00000000-0005-0000-0000-0000B905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10" builtinId="8" hidden="1"/>
    <cellStyle name="Link" xfId="712" builtinId="8" hidden="1"/>
    <cellStyle name="Link" xfId="714" builtinId="8" hidden="1"/>
    <cellStyle name="Link" xfId="716" builtinId="8" hidden="1"/>
    <cellStyle name="Link" xfId="718" builtinId="8" hidden="1"/>
    <cellStyle name="Link" xfId="720" builtinId="8" hidden="1"/>
    <cellStyle name="Link" xfId="722" builtinId="8" hidden="1"/>
    <cellStyle name="Link" xfId="724" builtinId="8" hidden="1"/>
    <cellStyle name="Link" xfId="726" builtinId="8" hidden="1"/>
    <cellStyle name="Link" xfId="728" builtinId="8" hidden="1"/>
    <cellStyle name="Link" xfId="730" builtinId="8" hidden="1"/>
    <cellStyle name="Link" xfId="732" builtinId="8" hidden="1"/>
    <cellStyle name="Link" xfId="734" builtinId="8" hidden="1"/>
    <cellStyle name="Link" xfId="736" builtinId="8" hidden="1"/>
    <cellStyle name="Link" xfId="738" builtinId="8" hidden="1"/>
    <cellStyle name="Link" xfId="740" builtinId="8" hidden="1"/>
    <cellStyle name="Link" xfId="742" builtinId="8" hidden="1"/>
    <cellStyle name="Link" xfId="744" builtinId="8" hidden="1"/>
    <cellStyle name="Link" xfId="746" builtinId="8" hidden="1"/>
    <cellStyle name="Link" xfId="748" builtinId="8" hidden="1"/>
    <cellStyle name="Link" xfId="750" builtinId="8" hidden="1"/>
    <cellStyle name="Link" xfId="752" builtinId="8" hidden="1"/>
    <cellStyle name="Link" xfId="754" builtinId="8" hidden="1"/>
    <cellStyle name="Link" xfId="756" builtinId="8" hidden="1"/>
    <cellStyle name="Link" xfId="758" builtinId="8" hidden="1"/>
    <cellStyle name="Link" xfId="760" builtinId="8" hidden="1"/>
    <cellStyle name="Link" xfId="762" builtinId="8" hidden="1"/>
    <cellStyle name="Link" xfId="764" builtinId="8" hidden="1"/>
    <cellStyle name="Link" xfId="766" builtinId="8" hidden="1"/>
    <cellStyle name="Link" xfId="768" builtinId="8" hidden="1"/>
    <cellStyle name="Link" xfId="770" builtinId="8" hidden="1"/>
    <cellStyle name="Link" xfId="776" builtinId="8" hidden="1"/>
    <cellStyle name="Link" xfId="778" builtinId="8" hidden="1"/>
    <cellStyle name="Link" xfId="780" builtinId="8" hidden="1"/>
    <cellStyle name="Link" xfId="782" builtinId="8" hidden="1"/>
    <cellStyle name="Link" xfId="784" builtinId="8" hidden="1"/>
    <cellStyle name="Link" xfId="786" builtinId="8" hidden="1"/>
    <cellStyle name="Link" xfId="788" builtinId="8" hidden="1"/>
    <cellStyle name="Link" xfId="790" builtinId="8" hidden="1"/>
    <cellStyle name="Link" xfId="792" builtinId="8" hidden="1"/>
    <cellStyle name="Link" xfId="794" builtinId="8" hidden="1"/>
    <cellStyle name="Link" xfId="796" builtinId="8" hidden="1"/>
    <cellStyle name="Link" xfId="798" builtinId="8" hidden="1"/>
    <cellStyle name="Link" xfId="800" builtinId="8" hidden="1"/>
    <cellStyle name="Link" xfId="802" builtinId="8" hidden="1"/>
    <cellStyle name="Link" xfId="804" builtinId="8" hidden="1"/>
    <cellStyle name="Link" xfId="806" builtinId="8" hidden="1"/>
    <cellStyle name="Link" xfId="808" builtinId="8" hidden="1"/>
    <cellStyle name="Link" xfId="810" builtinId="8" hidden="1"/>
    <cellStyle name="Link" xfId="812" builtinId="8" hidden="1"/>
    <cellStyle name="Link" xfId="814" builtinId="8" hidden="1"/>
    <cellStyle name="Link" xfId="816" builtinId="8" hidden="1"/>
    <cellStyle name="Link" xfId="818" builtinId="8" hidden="1"/>
    <cellStyle name="Link" xfId="820" builtinId="8" hidden="1"/>
    <cellStyle name="Link" xfId="822" builtinId="8" hidden="1"/>
    <cellStyle name="Link" xfId="824" builtinId="8" hidden="1"/>
    <cellStyle name="Link" xfId="826" builtinId="8" hidden="1"/>
    <cellStyle name="Link" xfId="828" builtinId="8" hidden="1"/>
    <cellStyle name="Link" xfId="830" builtinId="8" hidden="1"/>
    <cellStyle name="Link" xfId="832" builtinId="8" hidden="1"/>
    <cellStyle name="Link" xfId="834" builtinId="8" hidden="1"/>
    <cellStyle name="Link" xfId="836" builtinId="8" hidden="1"/>
    <cellStyle name="Link" xfId="838" builtinId="8" hidden="1"/>
    <cellStyle name="Link" xfId="840" builtinId="8" hidden="1"/>
    <cellStyle name="Link" xfId="842" builtinId="8" hidden="1"/>
    <cellStyle name="Link" xfId="844" builtinId="8" hidden="1"/>
    <cellStyle name="Link" xfId="846" builtinId="8" hidden="1"/>
    <cellStyle name="Link" xfId="848" builtinId="8" hidden="1"/>
    <cellStyle name="Link" xfId="850" builtinId="8" hidden="1"/>
    <cellStyle name="Link" xfId="852" builtinId="8" hidden="1"/>
    <cellStyle name="Link" xfId="854" builtinId="8" hidden="1"/>
    <cellStyle name="Link" xfId="856" builtinId="8" hidden="1"/>
    <cellStyle name="Link" xfId="858" builtinId="8" hidden="1"/>
    <cellStyle name="Link" xfId="860" builtinId="8" hidden="1"/>
    <cellStyle name="Link" xfId="862" builtinId="8" hidden="1"/>
    <cellStyle name="Link" xfId="864" builtinId="8" hidden="1"/>
    <cellStyle name="Link" xfId="866" builtinId="8" hidden="1"/>
    <cellStyle name="Link" xfId="868" builtinId="8" hidden="1"/>
    <cellStyle name="Link" xfId="870" builtinId="8" hidden="1"/>
    <cellStyle name="Link" xfId="872" builtinId="8" hidden="1"/>
    <cellStyle name="Link" xfId="874" builtinId="8" hidden="1"/>
    <cellStyle name="Link" xfId="876" builtinId="8" hidden="1"/>
    <cellStyle name="Link" xfId="878" builtinId="8" hidden="1"/>
    <cellStyle name="Link" xfId="880" builtinId="8" hidden="1"/>
    <cellStyle name="Link" xfId="882" builtinId="8" hidden="1"/>
    <cellStyle name="Link" xfId="884" builtinId="8" hidden="1"/>
    <cellStyle name="Link" xfId="886" builtinId="8" hidden="1"/>
    <cellStyle name="Link" xfId="888" builtinId="8" hidden="1"/>
    <cellStyle name="Link" xfId="890" builtinId="8" hidden="1"/>
    <cellStyle name="Link" xfId="892" builtinId="8" hidden="1"/>
    <cellStyle name="Link" xfId="894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2" builtinId="8" hidden="1"/>
    <cellStyle name="Link" xfId="934" builtinId="8" hidden="1"/>
    <cellStyle name="Link" xfId="936" builtinId="8" hidden="1"/>
    <cellStyle name="Link" xfId="938" builtinId="8" hidden="1"/>
    <cellStyle name="Link" xfId="940" builtinId="8" hidden="1"/>
    <cellStyle name="Link" xfId="942" builtinId="8" hidden="1"/>
    <cellStyle name="Link" xfId="944" builtinId="8" hidden="1"/>
    <cellStyle name="Link" xfId="946" builtinId="8" hidden="1"/>
    <cellStyle name="Link" xfId="948" builtinId="8" hidden="1"/>
    <cellStyle name="Link" xfId="950" builtinId="8" hidden="1"/>
    <cellStyle name="Link" xfId="952" builtinId="8" hidden="1"/>
    <cellStyle name="Link" xfId="954" builtinId="8" hidden="1"/>
    <cellStyle name="Link" xfId="956" builtinId="8" hidden="1"/>
    <cellStyle name="Link" xfId="958" builtinId="8" hidden="1"/>
    <cellStyle name="Link" xfId="960" builtinId="8" hidden="1"/>
    <cellStyle name="Link" xfId="962" builtinId="8" hidden="1"/>
    <cellStyle name="Link" xfId="964" builtinId="8" hidden="1"/>
    <cellStyle name="Link" xfId="966" builtinId="8" hidden="1"/>
    <cellStyle name="Link" xfId="968" builtinId="8" hidden="1"/>
    <cellStyle name="Link" xfId="970" builtinId="8" hidden="1"/>
    <cellStyle name="Link" xfId="972" builtinId="8" hidden="1"/>
    <cellStyle name="Link" xfId="974" builtinId="8" hidden="1"/>
    <cellStyle name="Link" xfId="976" builtinId="8" hidden="1"/>
    <cellStyle name="Link" xfId="978" builtinId="8" hidden="1"/>
    <cellStyle name="Link" xfId="980" builtinId="8" hidden="1"/>
    <cellStyle name="Link" xfId="982" builtinId="8" hidden="1"/>
    <cellStyle name="Link" xfId="984" builtinId="8" hidden="1"/>
    <cellStyle name="Link" xfId="986" builtinId="8" hidden="1"/>
    <cellStyle name="Link" xfId="988" builtinId="8" hidden="1"/>
    <cellStyle name="Link" xfId="990" builtinId="8" hidden="1"/>
    <cellStyle name="Link" xfId="992" builtinId="8" hidden="1"/>
    <cellStyle name="Link" xfId="994" builtinId="8" hidden="1"/>
    <cellStyle name="Link" xfId="996" builtinId="8" hidden="1"/>
    <cellStyle name="Link" xfId="998" builtinId="8" hidden="1"/>
    <cellStyle name="Link" xfId="1000" builtinId="8" hidden="1"/>
    <cellStyle name="Link" xfId="1002" builtinId="8" hidden="1"/>
    <cellStyle name="Link" xfId="1004" builtinId="8" hidden="1"/>
    <cellStyle name="Link" xfId="1006" builtinId="8" hidden="1"/>
    <cellStyle name="Link" xfId="1008" builtinId="8" hidden="1"/>
    <cellStyle name="Link" xfId="1010" builtinId="8" hidden="1"/>
    <cellStyle name="Link" xfId="1012" builtinId="8" hidden="1"/>
    <cellStyle name="Link" xfId="1014" builtinId="8" hidden="1"/>
    <cellStyle name="Link" xfId="1016" builtinId="8" hidden="1"/>
    <cellStyle name="Link" xfId="1018" builtinId="8" hidden="1"/>
    <cellStyle name="Link" xfId="1020" builtinId="8" hidden="1"/>
    <cellStyle name="Link" xfId="1022" builtinId="8" hidden="1"/>
    <cellStyle name="Link" xfId="1024" builtinId="8" hidden="1"/>
    <cellStyle name="Link" xfId="1026" builtinId="8" hidden="1"/>
    <cellStyle name="Link" xfId="1028" builtinId="8" hidden="1"/>
    <cellStyle name="Link" xfId="1030" builtinId="8" hidden="1"/>
    <cellStyle name="Link" xfId="1032" builtinId="8" hidden="1"/>
    <cellStyle name="Link" xfId="1034" builtinId="8" hidden="1"/>
    <cellStyle name="Link" xfId="1036" builtinId="8" hidden="1"/>
    <cellStyle name="Link" xfId="1038" builtinId="8" hidden="1"/>
    <cellStyle name="Link" xfId="1040" builtinId="8" hidden="1"/>
    <cellStyle name="Link" xfId="1042" builtinId="8" hidden="1"/>
    <cellStyle name="Link" xfId="1044" builtinId="8" hidden="1"/>
    <cellStyle name="Link" xfId="1046" builtinId="8" hidden="1"/>
    <cellStyle name="Link" xfId="1048" builtinId="8" hidden="1"/>
    <cellStyle name="Link" xfId="1050" builtinId="8" hidden="1"/>
    <cellStyle name="Link" xfId="1052" builtinId="8" hidden="1"/>
    <cellStyle name="Link" xfId="1054" builtinId="8" hidden="1"/>
    <cellStyle name="Link" xfId="1056" builtinId="8" hidden="1"/>
    <cellStyle name="Link" xfId="1058" builtinId="8" hidden="1"/>
    <cellStyle name="Link" xfId="1060" builtinId="8" hidden="1"/>
    <cellStyle name="Link" xfId="1062" builtinId="8" hidden="1"/>
    <cellStyle name="Link" xfId="1064" builtinId="8" hidden="1"/>
    <cellStyle name="Link" xfId="1066" builtinId="8" hidden="1"/>
    <cellStyle name="Link" xfId="1068" builtinId="8" hidden="1"/>
    <cellStyle name="Link" xfId="1070" builtinId="8" hidden="1"/>
    <cellStyle name="Link" xfId="1072" builtinId="8" hidden="1"/>
    <cellStyle name="Link" xfId="1074" builtinId="8" hidden="1"/>
    <cellStyle name="Link" xfId="1076" builtinId="8" hidden="1"/>
    <cellStyle name="Link" xfId="1078" builtinId="8" hidden="1"/>
    <cellStyle name="Link" xfId="1080" builtinId="8" hidden="1"/>
    <cellStyle name="Link" xfId="1082" builtinId="8" hidden="1"/>
    <cellStyle name="Link" xfId="1084" builtinId="8" hidden="1"/>
    <cellStyle name="Link" xfId="1086" builtinId="8" hidden="1"/>
    <cellStyle name="Link" xfId="1088" builtinId="8" hidden="1"/>
    <cellStyle name="Link" xfId="1090" builtinId="8" hidden="1"/>
    <cellStyle name="Link" xfId="1092" builtinId="8" hidden="1"/>
    <cellStyle name="Link" xfId="1094" builtinId="8" hidden="1"/>
    <cellStyle name="Link" xfId="1096" builtinId="8" hidden="1"/>
    <cellStyle name="Link" xfId="1098" builtinId="8" hidden="1"/>
    <cellStyle name="Link" xfId="1100" builtinId="8" hidden="1"/>
    <cellStyle name="Link" xfId="1102" builtinId="8" hidden="1"/>
    <cellStyle name="Link" xfId="1104" builtinId="8" hidden="1"/>
    <cellStyle name="Link" xfId="1106" builtinId="8" hidden="1"/>
    <cellStyle name="Link" xfId="1108" builtinId="8" hidden="1"/>
    <cellStyle name="Link" xfId="1110" builtinId="8" hidden="1"/>
    <cellStyle name="Link" xfId="1112" builtinId="8" hidden="1"/>
    <cellStyle name="Link" xfId="1114" builtinId="8" hidden="1"/>
    <cellStyle name="Link" xfId="1116" builtinId="8" hidden="1"/>
    <cellStyle name="Link" xfId="1118" builtinId="8" hidden="1"/>
    <cellStyle name="Link" xfId="1120" builtinId="8" hidden="1"/>
    <cellStyle name="Link" xfId="1122" builtinId="8" hidden="1"/>
    <cellStyle name="Link" xfId="1124" builtinId="8" hidden="1"/>
    <cellStyle name="Link" xfId="1126" builtinId="8" hidden="1"/>
    <cellStyle name="Link" xfId="1128" builtinId="8" hidden="1"/>
    <cellStyle name="Link" xfId="1130" builtinId="8" hidden="1"/>
    <cellStyle name="Link" xfId="1132" builtinId="8" hidden="1"/>
    <cellStyle name="Link" xfId="1134" builtinId="8" hidden="1"/>
    <cellStyle name="Link" xfId="1136" builtinId="8" hidden="1"/>
    <cellStyle name="Link" xfId="1138" builtinId="8" hidden="1"/>
    <cellStyle name="Link" xfId="1140" builtinId="8" hidden="1"/>
    <cellStyle name="Link" xfId="1142" builtinId="8" hidden="1"/>
    <cellStyle name="Link" xfId="1144" builtinId="8" hidden="1"/>
    <cellStyle name="Link" xfId="1146" builtinId="8" hidden="1"/>
    <cellStyle name="Link" xfId="1148" builtinId="8" hidden="1"/>
    <cellStyle name="Link" xfId="1150" builtinId="8" hidden="1"/>
    <cellStyle name="Link" xfId="1152" builtinId="8" hidden="1"/>
    <cellStyle name="Link" xfId="1154" builtinId="8" hidden="1"/>
    <cellStyle name="Link" xfId="1156" builtinId="8" hidden="1"/>
    <cellStyle name="Link" xfId="1158" builtinId="8" hidden="1"/>
    <cellStyle name="Link" xfId="1160" builtinId="8" hidden="1"/>
    <cellStyle name="Link" xfId="1162" builtinId="8" hidden="1"/>
    <cellStyle name="Link" xfId="1164" builtinId="8" hidden="1"/>
    <cellStyle name="Link" xfId="1166" builtinId="8" hidden="1"/>
    <cellStyle name="Link" xfId="1168" builtinId="8" hidden="1"/>
    <cellStyle name="Link" xfId="1170" builtinId="8" hidden="1"/>
    <cellStyle name="Link" xfId="1172" builtinId="8" hidden="1"/>
    <cellStyle name="Link" xfId="1174" builtinId="8" hidden="1"/>
    <cellStyle name="Link" xfId="1176" builtinId="8" hidden="1"/>
    <cellStyle name="Link" xfId="1178" builtinId="8" hidden="1"/>
    <cellStyle name="Link" xfId="1180" builtinId="8" hidden="1"/>
    <cellStyle name="Link" xfId="1182" builtinId="8" hidden="1"/>
    <cellStyle name="Link" xfId="1184" builtinId="8" hidden="1"/>
    <cellStyle name="Link" xfId="1186" builtinId="8" hidden="1"/>
    <cellStyle name="Link" xfId="1188" builtinId="8" hidden="1"/>
    <cellStyle name="Link" xfId="1190" builtinId="8" hidden="1"/>
    <cellStyle name="Link" xfId="1192" builtinId="8" hidden="1"/>
    <cellStyle name="Link" xfId="1194" builtinId="8" hidden="1"/>
    <cellStyle name="Link" xfId="1196" builtinId="8" hidden="1"/>
    <cellStyle name="Link" xfId="1198" builtinId="8" hidden="1"/>
    <cellStyle name="Link" xfId="1200" builtinId="8" hidden="1"/>
    <cellStyle name="Link" xfId="1202" builtinId="8" hidden="1"/>
    <cellStyle name="Link" xfId="1204" builtinId="8" hidden="1"/>
    <cellStyle name="Link" xfId="1206" builtinId="8" hidden="1"/>
    <cellStyle name="Link" xfId="1208" builtinId="8" hidden="1"/>
    <cellStyle name="Link" xfId="1210" builtinId="8" hidden="1"/>
    <cellStyle name="Link" xfId="1212" builtinId="8" hidden="1"/>
    <cellStyle name="Link" xfId="1214" builtinId="8" hidden="1"/>
    <cellStyle name="Link" xfId="1216" builtinId="8" hidden="1"/>
    <cellStyle name="Link" xfId="1218" builtinId="8" hidden="1"/>
    <cellStyle name="Link" xfId="1220" builtinId="8" hidden="1"/>
    <cellStyle name="Link" xfId="1222" builtinId="8" hidden="1"/>
    <cellStyle name="Link" xfId="1224" builtinId="8" hidden="1"/>
    <cellStyle name="Link" xfId="1226" builtinId="8" hidden="1"/>
    <cellStyle name="Link" xfId="1228" builtinId="8" hidden="1"/>
    <cellStyle name="Link" xfId="1230" builtinId="8" hidden="1"/>
    <cellStyle name="Link" xfId="1232" builtinId="8" hidden="1"/>
    <cellStyle name="Link" xfId="1234" builtinId="8" hidden="1"/>
    <cellStyle name="Link" xfId="1236" builtinId="8" hidden="1"/>
    <cellStyle name="Link" xfId="1238" builtinId="8" hidden="1"/>
    <cellStyle name="Link" xfId="1240" builtinId="8" hidden="1"/>
    <cellStyle name="Link" xfId="1242" builtinId="8" hidden="1"/>
    <cellStyle name="Link" xfId="1244" builtinId="8" hidden="1"/>
    <cellStyle name="Link" xfId="1246" builtinId="8" hidden="1"/>
    <cellStyle name="Link" xfId="1248" builtinId="8" hidden="1"/>
    <cellStyle name="Link" xfId="1250" builtinId="8" hidden="1"/>
    <cellStyle name="Link" xfId="1252" builtinId="8" hidden="1"/>
    <cellStyle name="Link" xfId="1254" builtinId="8" hidden="1"/>
    <cellStyle name="Link" xfId="1256" builtinId="8" hidden="1"/>
    <cellStyle name="Link" xfId="1258" builtinId="8" hidden="1"/>
    <cellStyle name="Link" xfId="1260" builtinId="8" hidden="1"/>
    <cellStyle name="Link" xfId="1262" builtinId="8" hidden="1"/>
    <cellStyle name="Link" xfId="1264" builtinId="8" hidden="1"/>
    <cellStyle name="Link" xfId="1266" builtinId="8" hidden="1"/>
    <cellStyle name="Link" xfId="1268" builtinId="8" hidden="1"/>
    <cellStyle name="Link" xfId="1270" builtinId="8" hidden="1"/>
    <cellStyle name="Link" xfId="1272" builtinId="8" hidden="1"/>
    <cellStyle name="Link" xfId="1274" builtinId="8" hidden="1"/>
    <cellStyle name="Link" xfId="1276" builtinId="8" hidden="1"/>
    <cellStyle name="Link" xfId="1278" builtinId="8" hidden="1"/>
    <cellStyle name="Link" xfId="1280" builtinId="8" hidden="1"/>
    <cellStyle name="Link" xfId="1282" builtinId="8" hidden="1"/>
    <cellStyle name="Link" xfId="1284" builtinId="8" hidden="1"/>
    <cellStyle name="Link" xfId="1286" builtinId="8" hidden="1"/>
    <cellStyle name="Link" xfId="1288" builtinId="8" hidden="1"/>
    <cellStyle name="Link" xfId="1290" builtinId="8" hidden="1"/>
    <cellStyle name="Link" xfId="1292" builtinId="8" hidden="1"/>
    <cellStyle name="Link" xfId="1294" builtinId="8" hidden="1"/>
    <cellStyle name="Link" xfId="1296" builtinId="8" hidden="1"/>
    <cellStyle name="Link" xfId="1298" builtinId="8" hidden="1"/>
    <cellStyle name="Link" xfId="1300" builtinId="8" hidden="1"/>
    <cellStyle name="Link" xfId="1302" builtinId="8" hidden="1"/>
    <cellStyle name="Link" xfId="1304" builtinId="8" hidden="1"/>
    <cellStyle name="Link" xfId="1306" builtinId="8" hidden="1"/>
    <cellStyle name="Link" xfId="1308" builtinId="8" hidden="1"/>
    <cellStyle name="Link" xfId="1310" builtinId="8" hidden="1"/>
    <cellStyle name="Link" xfId="1312" builtinId="8" hidden="1"/>
    <cellStyle name="Link" xfId="1314" builtinId="8" hidden="1"/>
    <cellStyle name="Link" xfId="1316" builtinId="8" hidden="1"/>
    <cellStyle name="Link" xfId="1318" builtinId="8" hidden="1"/>
    <cellStyle name="Link" xfId="1320" builtinId="8" hidden="1"/>
    <cellStyle name="Link" xfId="1322" builtinId="8" hidden="1"/>
    <cellStyle name="Link" xfId="1324" builtinId="8" hidden="1"/>
    <cellStyle name="Link" xfId="1326" builtinId="8" hidden="1"/>
    <cellStyle name="Link" xfId="1328" builtinId="8" hidden="1"/>
    <cellStyle name="Link" xfId="1330" builtinId="8" hidden="1"/>
    <cellStyle name="Link" xfId="1332" builtinId="8" hidden="1"/>
    <cellStyle name="Link" xfId="1334" builtinId="8" hidden="1"/>
    <cellStyle name="Link" xfId="1336" builtinId="8" hidden="1"/>
    <cellStyle name="Link" xfId="1338" builtinId="8" hidden="1"/>
    <cellStyle name="Link" xfId="1340" builtinId="8" hidden="1"/>
    <cellStyle name="Link" xfId="1342" builtinId="8" hidden="1"/>
    <cellStyle name="Link" xfId="1344" builtinId="8" hidden="1"/>
    <cellStyle name="Link" xfId="1346" builtinId="8" hidden="1"/>
    <cellStyle name="Link" xfId="1348" builtinId="8" hidden="1"/>
    <cellStyle name="Link" xfId="1350" builtinId="8" hidden="1"/>
    <cellStyle name="Link" xfId="1352" builtinId="8" hidden="1"/>
    <cellStyle name="Link" xfId="1354" builtinId="8" hidden="1"/>
    <cellStyle name="Link" xfId="1356" builtinId="8" hidden="1"/>
    <cellStyle name="Link" xfId="1358" builtinId="8" hidden="1"/>
    <cellStyle name="Link" xfId="1360" builtinId="8" hidden="1"/>
    <cellStyle name="Link" xfId="1362" builtinId="8" hidden="1"/>
    <cellStyle name="Link" xfId="1364" builtinId="8" hidden="1"/>
    <cellStyle name="Link" xfId="1366" builtinId="8" hidden="1"/>
    <cellStyle name="Link" xfId="1368" builtinId="8" hidden="1"/>
    <cellStyle name="Link" xfId="1370" builtinId="8" hidden="1"/>
    <cellStyle name="Link" xfId="1372" builtinId="8" hidden="1"/>
    <cellStyle name="Link" xfId="1374" builtinId="8" hidden="1"/>
    <cellStyle name="Link" xfId="1376" builtinId="8" hidden="1"/>
    <cellStyle name="Link" xfId="1378" builtinId="8" hidden="1"/>
    <cellStyle name="Link" xfId="1380" builtinId="8" hidden="1"/>
    <cellStyle name="Link" xfId="1382" builtinId="8" hidden="1"/>
    <cellStyle name="Link" xfId="1384" builtinId="8" hidden="1"/>
    <cellStyle name="Link" xfId="1386" builtinId="8" hidden="1"/>
    <cellStyle name="Link" xfId="1388" builtinId="8" hidden="1"/>
    <cellStyle name="Link" xfId="1390" builtinId="8" hidden="1"/>
    <cellStyle name="Link" xfId="1392" builtinId="8" hidden="1"/>
    <cellStyle name="Link" xfId="1394" builtinId="8" hidden="1"/>
    <cellStyle name="Link" xfId="1396" builtinId="8" hidden="1"/>
    <cellStyle name="Link" xfId="1398" builtinId="8" hidden="1"/>
    <cellStyle name="Link" xfId="1400" builtinId="8" hidden="1"/>
    <cellStyle name="Link" xfId="1402" builtinId="8" hidden="1"/>
    <cellStyle name="Link" xfId="1404" builtinId="8" hidden="1"/>
    <cellStyle name="Link" xfId="1406" builtinId="8" hidden="1"/>
    <cellStyle name="Link" xfId="1408" builtinId="8" hidden="1"/>
    <cellStyle name="Link" xfId="1410" builtinId="8" hidden="1"/>
    <cellStyle name="Link" xfId="1412" builtinId="8" hidden="1"/>
    <cellStyle name="Link" xfId="1414" builtinId="8" hidden="1"/>
    <cellStyle name="Link" xfId="1416" builtinId="8" hidden="1"/>
    <cellStyle name="Link" xfId="1418" builtinId="8" hidden="1"/>
    <cellStyle name="Link" xfId="1420" builtinId="8" hidden="1"/>
    <cellStyle name="Link" xfId="1422" builtinId="8" hidden="1"/>
    <cellStyle name="Link" xfId="1424" builtinId="8" hidden="1"/>
    <cellStyle name="Link" xfId="1426" builtinId="8" hidden="1"/>
    <cellStyle name="Link" xfId="1428" builtinId="8" hidden="1"/>
    <cellStyle name="Link" xfId="1430" builtinId="8" hidden="1"/>
    <cellStyle name="Link" xfId="1432" builtinId="8" hidden="1"/>
    <cellStyle name="Link" xfId="1434" builtinId="8" hidden="1"/>
    <cellStyle name="Link" xfId="1436" builtinId="8" hidden="1"/>
    <cellStyle name="Link" xfId="1438" builtinId="8" hidden="1"/>
    <cellStyle name="Link" xfId="1440" builtinId="8" hidden="1"/>
    <cellStyle name="Link" xfId="1442" builtinId="8" hidden="1"/>
    <cellStyle name="Link" xfId="1444" builtinId="8" hidden="1"/>
    <cellStyle name="Link" xfId="1446" builtinId="8" hidden="1"/>
    <cellStyle name="Link" xfId="1448" builtinId="8" hidden="1"/>
    <cellStyle name="Link" xfId="1450" builtinId="8" hidden="1"/>
    <cellStyle name="Link" xfId="1452" builtinId="8" hidden="1"/>
    <cellStyle name="Link" xfId="1454" builtinId="8" hidden="1"/>
    <cellStyle name="Link" xfId="1456" builtinId="8" hidden="1"/>
    <cellStyle name="Link" xfId="1458" builtinId="8" hidden="1"/>
    <cellStyle name="Link" xfId="1460" builtinId="8" hidden="1"/>
    <cellStyle name="Link" xfId="1462" builtinId="8" hidden="1"/>
    <cellStyle name="Link" xfId="1464" builtinId="8" hidden="1"/>
    <cellStyle name="Link" xfId="1466" builtinId="8" hidden="1"/>
    <cellStyle name="Link" xfId="1468" builtinId="8" hidden="1"/>
    <cellStyle name="Normal" xfId="0" builtinId="0"/>
    <cellStyle name="Normal 2" xfId="709" xr:uid="{00000000-0005-0000-0000-0000BB050000}"/>
    <cellStyle name="Procent 2" xfId="774" xr:uid="{00000000-0005-0000-0000-0000BC050000}"/>
    <cellStyle name="Valuta 2" xfId="775" xr:uid="{00000000-0005-0000-0000-0000BD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16</xdr:row>
      <xdr:rowOff>63503</xdr:rowOff>
    </xdr:from>
    <xdr:to>
      <xdr:col>4</xdr:col>
      <xdr:colOff>1120775</xdr:colOff>
      <xdr:row>16</xdr:row>
      <xdr:rowOff>610580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46228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17</xdr:row>
      <xdr:rowOff>38100</xdr:rowOff>
    </xdr:from>
    <xdr:to>
      <xdr:col>4</xdr:col>
      <xdr:colOff>1066799</xdr:colOff>
      <xdr:row>17</xdr:row>
      <xdr:rowOff>591021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58420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4</xdr:col>
      <xdr:colOff>36988</xdr:colOff>
      <xdr:row>20</xdr:row>
      <xdr:rowOff>79671</xdr:rowOff>
    </xdr:from>
    <xdr:to>
      <xdr:col>4</xdr:col>
      <xdr:colOff>1511300</xdr:colOff>
      <xdr:row>20</xdr:row>
      <xdr:rowOff>622300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088" y="7661571"/>
          <a:ext cx="1474312" cy="542629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24</xdr:row>
      <xdr:rowOff>114300</xdr:rowOff>
    </xdr:from>
    <xdr:to>
      <xdr:col>4</xdr:col>
      <xdr:colOff>1435100</xdr:colOff>
      <xdr:row>24</xdr:row>
      <xdr:rowOff>533400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D659EF2-F35B-0742-B7E7-B22E2F8D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81400" y="6896100"/>
          <a:ext cx="1320800" cy="419100"/>
        </a:xfrm>
        <a:prstGeom prst="rect">
          <a:avLst/>
        </a:prstGeom>
      </xdr:spPr>
    </xdr:pic>
    <xdr:clientData/>
  </xdr:twoCellAnchor>
  <xdr:twoCellAnchor editAs="oneCell">
    <xdr:from>
      <xdr:col>4</xdr:col>
      <xdr:colOff>20320</xdr:colOff>
      <xdr:row>15</xdr:row>
      <xdr:rowOff>132080</xdr:rowOff>
    </xdr:from>
    <xdr:to>
      <xdr:col>4</xdr:col>
      <xdr:colOff>1463040</xdr:colOff>
      <xdr:row>15</xdr:row>
      <xdr:rowOff>531197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ABD51857-276E-6743-A02D-06A0FB0B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95040" y="4409440"/>
          <a:ext cx="1442720" cy="399117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</xdr:colOff>
      <xdr:row>15</xdr:row>
      <xdr:rowOff>274320</xdr:rowOff>
    </xdr:from>
    <xdr:to>
      <xdr:col>7</xdr:col>
      <xdr:colOff>690245</xdr:colOff>
      <xdr:row>16</xdr:row>
      <xdr:rowOff>45720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6C73955-8906-4198-BB93-F7B4B3EAA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47260" y="5097780"/>
          <a:ext cx="121602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0"/>
  <sheetViews>
    <sheetView tabSelected="1" zoomScale="125" workbookViewId="0">
      <selection activeCell="A16" sqref="A16:D16"/>
    </sheetView>
  </sheetViews>
  <sheetFormatPr defaultColWidth="8.85546875" defaultRowHeight="15" x14ac:dyDescent="0.25"/>
  <cols>
    <col min="1" max="1" width="29.140625" style="34" customWidth="1"/>
    <col min="2" max="2" width="16.28515625" customWidth="1"/>
    <col min="3" max="3" width="24.28515625" hidden="1" customWidth="1"/>
    <col min="4" max="4" width="9.7109375" hidden="1" customWidth="1"/>
    <col min="5" max="5" width="20" bestFit="1" customWidth="1"/>
    <col min="6" max="6" width="4.7109375" customWidth="1"/>
    <col min="7" max="7" width="8.85546875" customWidth="1"/>
    <col min="8" max="8" width="10.7109375" customWidth="1"/>
    <col min="9" max="9" width="6.42578125" customWidth="1"/>
  </cols>
  <sheetData>
    <row r="1" spans="1:21" ht="35.1" customHeight="1" x14ac:dyDescent="0.4">
      <c r="A1" s="825"/>
      <c r="B1" s="825"/>
      <c r="C1" s="825"/>
      <c r="D1" s="825"/>
      <c r="E1" s="825"/>
      <c r="F1" s="825"/>
      <c r="G1" s="825"/>
      <c r="H1" s="825"/>
      <c r="I1" s="825"/>
    </row>
    <row r="2" spans="1:21" ht="30" customHeight="1" x14ac:dyDescent="0.25">
      <c r="A2" s="811"/>
      <c r="B2" s="811"/>
      <c r="C2" s="811"/>
      <c r="D2" s="811"/>
      <c r="E2" s="811"/>
      <c r="F2" s="811"/>
      <c r="G2" s="811"/>
      <c r="H2" s="811"/>
      <c r="I2" s="811"/>
    </row>
    <row r="3" spans="1:21" ht="36.950000000000003" customHeight="1" x14ac:dyDescent="0.4">
      <c r="A3" s="825" t="s">
        <v>82</v>
      </c>
      <c r="B3" s="825"/>
      <c r="C3" s="825"/>
      <c r="D3" s="825"/>
      <c r="E3" s="825"/>
      <c r="F3" s="825"/>
      <c r="G3" s="825"/>
      <c r="H3" s="825"/>
      <c r="I3" s="825"/>
      <c r="M3" s="823"/>
      <c r="N3" s="824"/>
      <c r="O3" s="824"/>
      <c r="P3" s="824"/>
      <c r="Q3" s="824"/>
      <c r="R3" s="824"/>
      <c r="S3" s="824"/>
      <c r="T3" s="824"/>
      <c r="U3" s="824"/>
    </row>
    <row r="4" spans="1:21" ht="26.1" customHeight="1" x14ac:dyDescent="0.4">
      <c r="A4" s="825" t="s">
        <v>325</v>
      </c>
      <c r="B4" s="825"/>
      <c r="C4" s="825"/>
      <c r="D4" s="825"/>
      <c r="E4" s="825"/>
      <c r="F4" s="825"/>
      <c r="G4" s="825"/>
      <c r="H4" s="825"/>
      <c r="I4" s="825"/>
    </row>
    <row r="5" spans="1:21" s="31" customFormat="1" ht="14.1" customHeight="1" x14ac:dyDescent="0.2">
      <c r="A5" s="811"/>
      <c r="B5" s="811"/>
      <c r="C5" s="811"/>
      <c r="D5" s="811"/>
      <c r="E5" s="811"/>
      <c r="F5" s="811"/>
      <c r="G5" s="811"/>
      <c r="H5" s="811"/>
      <c r="I5" s="811"/>
    </row>
    <row r="6" spans="1:21" s="31" customFormat="1" ht="21" customHeight="1" x14ac:dyDescent="0.25">
      <c r="A6" s="826" t="s">
        <v>437</v>
      </c>
      <c r="B6" s="826"/>
      <c r="C6" s="826"/>
      <c r="D6" s="826"/>
      <c r="E6" s="826"/>
      <c r="F6" s="826"/>
      <c r="G6" s="826"/>
      <c r="H6" s="826"/>
      <c r="I6" s="826"/>
    </row>
    <row r="7" spans="1:21" ht="18" customHeight="1" x14ac:dyDescent="0.25">
      <c r="A7" s="813" t="s">
        <v>442</v>
      </c>
      <c r="B7" s="813"/>
      <c r="C7" s="813"/>
      <c r="D7" s="813"/>
      <c r="E7" s="813"/>
      <c r="F7" s="813"/>
      <c r="G7" s="813"/>
      <c r="H7" s="813"/>
      <c r="I7" s="813"/>
    </row>
    <row r="8" spans="1:21" s="31" customFormat="1" ht="29.1" customHeight="1" x14ac:dyDescent="0.2">
      <c r="A8" s="827" t="s">
        <v>438</v>
      </c>
      <c r="B8" s="827"/>
      <c r="C8" s="827"/>
      <c r="D8" s="827"/>
      <c r="E8" s="827"/>
      <c r="F8" s="827"/>
      <c r="G8" s="827"/>
      <c r="H8" s="827"/>
      <c r="I8" s="827"/>
    </row>
    <row r="9" spans="1:21" s="31" customFormat="1" ht="27" customHeight="1" x14ac:dyDescent="0.2">
      <c r="A9" s="827" t="s">
        <v>439</v>
      </c>
      <c r="B9" s="827"/>
      <c r="C9" s="827"/>
      <c r="D9" s="827"/>
      <c r="E9" s="827"/>
      <c r="F9" s="827"/>
      <c r="G9" s="827"/>
      <c r="H9" s="827"/>
      <c r="I9" s="827"/>
    </row>
    <row r="10" spans="1:21" ht="18" customHeight="1" x14ac:dyDescent="0.25">
      <c r="A10" s="813"/>
      <c r="B10" s="813"/>
      <c r="C10" s="813"/>
      <c r="D10" s="813"/>
      <c r="E10" s="813"/>
      <c r="F10" s="813"/>
      <c r="G10" s="813"/>
      <c r="H10" s="813"/>
      <c r="I10" s="813"/>
    </row>
    <row r="11" spans="1:21" ht="18.95" customHeight="1" x14ac:dyDescent="0.25">
      <c r="A11" s="830" t="s">
        <v>426</v>
      </c>
      <c r="B11" s="830"/>
      <c r="C11" s="830"/>
      <c r="D11" s="830"/>
      <c r="E11" s="830"/>
      <c r="F11" s="830"/>
      <c r="G11" s="830"/>
      <c r="H11" s="830"/>
      <c r="I11" s="830"/>
    </row>
    <row r="12" spans="1:21" ht="18.95" customHeight="1" x14ac:dyDescent="0.25">
      <c r="A12" s="829" t="s">
        <v>434</v>
      </c>
      <c r="B12" s="829"/>
      <c r="C12" s="829"/>
      <c r="D12" s="829"/>
      <c r="E12" s="829"/>
      <c r="F12" s="829"/>
      <c r="G12" s="829"/>
      <c r="H12" s="829"/>
      <c r="I12" s="829"/>
    </row>
    <row r="13" spans="1:21" ht="32.1" customHeight="1" x14ac:dyDescent="0.25">
      <c r="A13" s="828" t="s">
        <v>436</v>
      </c>
      <c r="B13" s="828"/>
      <c r="C13" s="828"/>
      <c r="D13" s="828"/>
      <c r="E13" s="828"/>
      <c r="F13" s="828"/>
      <c r="G13" s="828"/>
      <c r="H13" s="828"/>
      <c r="I13" s="828"/>
    </row>
    <row r="14" spans="1:21" ht="36" customHeight="1" x14ac:dyDescent="0.25">
      <c r="A14" s="828" t="s">
        <v>435</v>
      </c>
      <c r="B14" s="828"/>
      <c r="C14" s="828"/>
      <c r="D14" s="828"/>
      <c r="E14" s="828"/>
      <c r="F14" s="828"/>
      <c r="G14" s="828"/>
      <c r="H14" s="828"/>
      <c r="I14" s="828"/>
    </row>
    <row r="15" spans="1:21" ht="21" customHeight="1" x14ac:dyDescent="0.25">
      <c r="A15" s="831"/>
      <c r="B15" s="831"/>
      <c r="C15" s="831"/>
      <c r="D15" s="831"/>
      <c r="E15" s="831"/>
      <c r="F15" s="831"/>
      <c r="G15" s="831"/>
      <c r="H15" s="831"/>
      <c r="I15" s="831"/>
    </row>
    <row r="16" spans="1:21" ht="51" customHeight="1" x14ac:dyDescent="0.25">
      <c r="A16" s="814" t="s">
        <v>85</v>
      </c>
      <c r="B16" s="814"/>
      <c r="C16" s="814"/>
      <c r="D16" s="814"/>
      <c r="E16" s="32"/>
      <c r="F16" s="818" t="s">
        <v>297</v>
      </c>
      <c r="G16" s="818"/>
      <c r="H16" s="818"/>
      <c r="I16" s="818"/>
    </row>
    <row r="17" spans="1:9" ht="51" customHeight="1" x14ac:dyDescent="0.25">
      <c r="A17" s="814" t="s">
        <v>83</v>
      </c>
      <c r="B17" s="814"/>
      <c r="C17" s="814"/>
      <c r="D17" s="814"/>
      <c r="E17" s="32"/>
      <c r="F17" s="812" t="s">
        <v>298</v>
      </c>
      <c r="G17" s="812"/>
      <c r="H17" s="812"/>
      <c r="I17" s="812"/>
    </row>
    <row r="18" spans="1:9" ht="48" customHeight="1" x14ac:dyDescent="0.25">
      <c r="A18" s="814" t="s">
        <v>291</v>
      </c>
      <c r="B18" s="814"/>
      <c r="C18" s="814"/>
      <c r="D18" s="814"/>
      <c r="E18" s="815"/>
      <c r="F18" s="812" t="s">
        <v>319</v>
      </c>
      <c r="G18" s="812"/>
      <c r="H18" s="812"/>
      <c r="I18" s="812"/>
    </row>
    <row r="19" spans="1:9" ht="2.1" hidden="1" customHeight="1" x14ac:dyDescent="0.25">
      <c r="A19" s="814"/>
      <c r="B19" s="814"/>
      <c r="C19" s="814"/>
      <c r="D19" s="814"/>
      <c r="E19" s="815"/>
      <c r="F19" s="812" t="s">
        <v>373</v>
      </c>
      <c r="G19" s="812"/>
      <c r="H19" s="812"/>
      <c r="I19" s="812"/>
    </row>
    <row r="20" spans="1:9" ht="12.95" hidden="1" customHeight="1" x14ac:dyDescent="0.25">
      <c r="A20" s="814"/>
      <c r="B20" s="814"/>
      <c r="C20" s="814"/>
      <c r="D20" s="814"/>
      <c r="E20" s="815"/>
      <c r="F20" s="812"/>
      <c r="G20" s="812"/>
      <c r="H20" s="812"/>
      <c r="I20" s="812"/>
    </row>
    <row r="21" spans="1:9" ht="50.1" customHeight="1" x14ac:dyDescent="0.25">
      <c r="A21" s="816" t="s">
        <v>84</v>
      </c>
      <c r="B21" s="816"/>
      <c r="C21" s="38"/>
      <c r="D21" s="38"/>
      <c r="E21" s="815"/>
      <c r="F21" s="812"/>
      <c r="G21" s="812"/>
      <c r="H21" s="812"/>
      <c r="I21" s="812"/>
    </row>
    <row r="22" spans="1:9" ht="2.1" hidden="1" customHeight="1" x14ac:dyDescent="0.25">
      <c r="A22" s="816"/>
      <c r="B22" s="816"/>
      <c r="C22" s="38"/>
      <c r="D22" s="38"/>
      <c r="E22" s="815"/>
      <c r="F22" s="812"/>
      <c r="G22" s="812"/>
      <c r="H22" s="812"/>
      <c r="I22" s="812"/>
    </row>
    <row r="23" spans="1:9" ht="9.9499999999999993" hidden="1" customHeight="1" x14ac:dyDescent="0.25">
      <c r="A23" s="816"/>
      <c r="B23" s="816"/>
      <c r="C23" s="38"/>
      <c r="D23" s="38"/>
      <c r="E23" s="815"/>
      <c r="F23" s="812"/>
      <c r="G23" s="812"/>
      <c r="H23" s="812"/>
      <c r="I23" s="812"/>
    </row>
    <row r="24" spans="1:9" ht="0.95" hidden="1" customHeight="1" x14ac:dyDescent="0.25">
      <c r="A24" s="816"/>
      <c r="B24" s="816"/>
      <c r="C24" s="38"/>
      <c r="D24" s="38"/>
      <c r="E24" s="815"/>
      <c r="F24" s="812" t="s">
        <v>299</v>
      </c>
      <c r="G24" s="812"/>
      <c r="H24" s="812"/>
      <c r="I24" s="812"/>
    </row>
    <row r="25" spans="1:9" ht="51" customHeight="1" x14ac:dyDescent="0.25">
      <c r="A25" s="760" t="s">
        <v>374</v>
      </c>
      <c r="B25" s="760"/>
      <c r="C25" s="760"/>
      <c r="D25" s="760"/>
      <c r="E25" s="760"/>
      <c r="F25" s="812" t="s">
        <v>416</v>
      </c>
      <c r="G25" s="812"/>
      <c r="H25" s="812"/>
      <c r="I25" s="812"/>
    </row>
    <row r="26" spans="1:9" ht="15" customHeight="1" x14ac:dyDescent="0.25">
      <c r="A26" s="758"/>
      <c r="B26" s="758"/>
      <c r="C26" s="758"/>
      <c r="D26" s="758"/>
      <c r="E26" s="758"/>
    </row>
    <row r="27" spans="1:9" ht="45.95" customHeight="1" x14ac:dyDescent="0.25">
      <c r="A27" s="817" t="s">
        <v>130</v>
      </c>
      <c r="B27" s="817"/>
      <c r="C27" s="817"/>
      <c r="D27" s="817"/>
      <c r="E27" s="817"/>
      <c r="F27" s="817"/>
      <c r="G27" s="817"/>
      <c r="H27" s="817"/>
      <c r="I27" s="817"/>
    </row>
    <row r="28" spans="1:9" ht="45.95" customHeight="1" x14ac:dyDescent="0.25">
      <c r="A28" s="563"/>
      <c r="B28" s="563"/>
      <c r="C28" s="563"/>
      <c r="D28" s="563"/>
      <c r="E28" s="563"/>
      <c r="F28" s="759"/>
      <c r="G28" s="759"/>
      <c r="H28" s="759"/>
      <c r="I28" s="759"/>
    </row>
    <row r="29" spans="1:9" ht="84.95" customHeight="1" x14ac:dyDescent="0.25">
      <c r="A29" s="811"/>
      <c r="B29" s="811"/>
      <c r="C29" s="811"/>
      <c r="D29" s="811"/>
      <c r="E29" s="15"/>
    </row>
    <row r="30" spans="1:9" ht="12.95" customHeight="1" x14ac:dyDescent="0.25">
      <c r="B30" s="819"/>
      <c r="C30" s="819"/>
      <c r="D30" s="819"/>
      <c r="E30" s="15"/>
    </row>
    <row r="31" spans="1:9" x14ac:dyDescent="0.25">
      <c r="A31" s="35"/>
      <c r="B31" s="14"/>
      <c r="C31" s="14"/>
      <c r="D31" s="14"/>
      <c r="E31" s="14"/>
    </row>
    <row r="32" spans="1:9" x14ac:dyDescent="0.25">
      <c r="A32" s="811"/>
      <c r="B32" s="811"/>
      <c r="C32" s="811"/>
      <c r="D32" s="811"/>
      <c r="E32" s="15"/>
      <c r="F32" s="562"/>
      <c r="G32" s="562"/>
      <c r="H32" s="562"/>
      <c r="I32" s="562"/>
    </row>
    <row r="33" spans="1:9" x14ac:dyDescent="0.25">
      <c r="A33" s="562"/>
      <c r="B33" s="562"/>
      <c r="C33" s="562"/>
      <c r="D33" s="562"/>
      <c r="E33" s="562"/>
    </row>
    <row r="34" spans="1:9" x14ac:dyDescent="0.25">
      <c r="A34" s="811"/>
      <c r="B34" s="811"/>
      <c r="C34" s="811"/>
      <c r="D34" s="811"/>
      <c r="E34" s="15"/>
    </row>
    <row r="35" spans="1:9" x14ac:dyDescent="0.25">
      <c r="A35" s="811"/>
      <c r="B35" s="811"/>
      <c r="C35" s="811"/>
      <c r="D35" s="811"/>
      <c r="E35" s="15"/>
      <c r="H35" s="811"/>
      <c r="I35" s="811"/>
    </row>
    <row r="36" spans="1:9" x14ac:dyDescent="0.25">
      <c r="A36" s="811"/>
      <c r="B36" s="811"/>
      <c r="C36" s="811"/>
      <c r="D36" s="811"/>
      <c r="E36" s="15"/>
      <c r="H36" s="811"/>
      <c r="I36" s="811"/>
    </row>
    <row r="37" spans="1:9" x14ac:dyDescent="0.25">
      <c r="A37" s="811"/>
      <c r="B37" s="811"/>
      <c r="C37" s="811"/>
      <c r="D37" s="811"/>
      <c r="E37" s="15"/>
      <c r="H37" s="811"/>
      <c r="I37" s="811"/>
    </row>
    <row r="38" spans="1:9" x14ac:dyDescent="0.25">
      <c r="A38" s="811"/>
      <c r="B38" s="811"/>
      <c r="C38" s="811"/>
      <c r="D38" s="811"/>
      <c r="E38" s="15"/>
      <c r="H38" s="811"/>
      <c r="I38" s="811"/>
    </row>
    <row r="39" spans="1:9" x14ac:dyDescent="0.25">
      <c r="A39" s="811"/>
      <c r="B39" s="811"/>
      <c r="C39" s="811"/>
      <c r="D39" s="811"/>
      <c r="E39" s="15"/>
      <c r="H39" s="811"/>
      <c r="I39" s="811"/>
    </row>
    <row r="40" spans="1:9" x14ac:dyDescent="0.25">
      <c r="A40" s="811"/>
      <c r="B40" s="811"/>
      <c r="C40" s="811"/>
      <c r="D40" s="811"/>
      <c r="E40" s="15"/>
      <c r="H40" s="811"/>
      <c r="I40" s="811"/>
    </row>
    <row r="41" spans="1:9" x14ac:dyDescent="0.25">
      <c r="A41" s="811"/>
      <c r="B41" s="811"/>
      <c r="C41" s="811"/>
      <c r="D41" s="811"/>
      <c r="E41" s="15"/>
      <c r="H41" s="811"/>
      <c r="I41" s="811"/>
    </row>
    <row r="42" spans="1:9" x14ac:dyDescent="0.25">
      <c r="A42" s="35"/>
      <c r="B42" s="15"/>
      <c r="C42" s="15"/>
      <c r="D42" s="15"/>
      <c r="E42" s="15"/>
      <c r="H42" s="811"/>
      <c r="I42" s="811"/>
    </row>
    <row r="43" spans="1:9" ht="18" x14ac:dyDescent="0.25">
      <c r="A43" s="38"/>
      <c r="B43" s="819"/>
      <c r="C43" s="819"/>
      <c r="D43" s="819"/>
      <c r="E43" s="36"/>
      <c r="H43" s="811"/>
      <c r="I43" s="811"/>
    </row>
    <row r="44" spans="1:9" x14ac:dyDescent="0.25">
      <c r="A44" s="35"/>
      <c r="B44" s="14"/>
      <c r="C44" s="14"/>
      <c r="D44" s="14"/>
      <c r="E44" s="14"/>
      <c r="H44" s="811"/>
      <c r="I44" s="811"/>
    </row>
    <row r="45" spans="1:9" ht="15.75" x14ac:dyDescent="0.25">
      <c r="A45" s="822"/>
      <c r="B45" s="822"/>
      <c r="C45" s="822"/>
      <c r="D45" s="822"/>
      <c r="E45" s="33"/>
    </row>
    <row r="46" spans="1:9" ht="18" x14ac:dyDescent="0.25">
      <c r="A46" s="821"/>
      <c r="B46" s="821"/>
      <c r="C46" s="821"/>
      <c r="D46" s="821"/>
      <c r="E46" s="36"/>
    </row>
    <row r="47" spans="1:9" x14ac:dyDescent="0.25">
      <c r="A47" s="35"/>
      <c r="B47" s="14"/>
      <c r="C47" s="14"/>
      <c r="D47" s="14"/>
      <c r="E47" s="14"/>
    </row>
    <row r="48" spans="1:9" x14ac:dyDescent="0.25">
      <c r="A48" s="35"/>
      <c r="B48" s="14"/>
      <c r="C48" s="14"/>
      <c r="D48" s="14"/>
      <c r="E48" s="14"/>
    </row>
    <row r="49" spans="1:9" x14ac:dyDescent="0.25">
      <c r="A49" s="35"/>
      <c r="B49" s="14"/>
      <c r="C49" s="14"/>
      <c r="D49" s="14"/>
      <c r="E49" s="14"/>
    </row>
    <row r="50" spans="1:9" x14ac:dyDescent="0.25">
      <c r="A50" s="35"/>
      <c r="B50" s="14"/>
      <c r="C50" s="14"/>
      <c r="D50" s="14"/>
      <c r="E50" s="14"/>
    </row>
    <row r="51" spans="1:9" x14ac:dyDescent="0.25">
      <c r="A51" s="35"/>
      <c r="B51" s="14"/>
      <c r="C51" s="14"/>
      <c r="D51" s="14"/>
      <c r="E51" s="14"/>
    </row>
    <row r="54" spans="1:9" x14ac:dyDescent="0.25">
      <c r="I54" s="37"/>
    </row>
    <row r="57" spans="1:9" x14ac:dyDescent="0.25">
      <c r="I57" s="30"/>
    </row>
    <row r="58" spans="1:9" x14ac:dyDescent="0.25">
      <c r="I58" s="820"/>
    </row>
    <row r="59" spans="1:9" x14ac:dyDescent="0.25">
      <c r="I59" s="820"/>
    </row>
    <row r="60" spans="1:9" x14ac:dyDescent="0.25">
      <c r="I60" s="820"/>
    </row>
  </sheetData>
  <sheetProtection sheet="1" objects="1" scenarios="1"/>
  <mergeCells count="55">
    <mergeCell ref="A6:I6"/>
    <mergeCell ref="A16:D16"/>
    <mergeCell ref="A8:I8"/>
    <mergeCell ref="A13:I13"/>
    <mergeCell ref="A12:I12"/>
    <mergeCell ref="A11:I11"/>
    <mergeCell ref="A9:I9"/>
    <mergeCell ref="A7:I7"/>
    <mergeCell ref="A15:I15"/>
    <mergeCell ref="A14:I14"/>
    <mergeCell ref="M3:U3"/>
    <mergeCell ref="A1:I1"/>
    <mergeCell ref="A4:I4"/>
    <mergeCell ref="A3:I3"/>
    <mergeCell ref="A5:I5"/>
    <mergeCell ref="A2:I2"/>
    <mergeCell ref="I58:I60"/>
    <mergeCell ref="A46:D46"/>
    <mergeCell ref="A32:D32"/>
    <mergeCell ref="A34:D34"/>
    <mergeCell ref="A35:D35"/>
    <mergeCell ref="A36:D36"/>
    <mergeCell ref="A37:D37"/>
    <mergeCell ref="A38:D38"/>
    <mergeCell ref="A39:D39"/>
    <mergeCell ref="A40:D40"/>
    <mergeCell ref="A41:D41"/>
    <mergeCell ref="A45:D45"/>
    <mergeCell ref="H37:I37"/>
    <mergeCell ref="H38:I38"/>
    <mergeCell ref="H44:I44"/>
    <mergeCell ref="B43:D43"/>
    <mergeCell ref="H42:I42"/>
    <mergeCell ref="H43:I43"/>
    <mergeCell ref="B30:D30"/>
    <mergeCell ref="H35:I35"/>
    <mergeCell ref="H36:I36"/>
    <mergeCell ref="H39:I39"/>
    <mergeCell ref="H40:I40"/>
    <mergeCell ref="H41:I41"/>
    <mergeCell ref="A29:D29"/>
    <mergeCell ref="F18:I18"/>
    <mergeCell ref="A10:I10"/>
    <mergeCell ref="F25:I25"/>
    <mergeCell ref="F24:I24"/>
    <mergeCell ref="F19:I21"/>
    <mergeCell ref="F22:I23"/>
    <mergeCell ref="A17:D17"/>
    <mergeCell ref="A18:D20"/>
    <mergeCell ref="E18:E20"/>
    <mergeCell ref="A21:B24"/>
    <mergeCell ref="E21:E24"/>
    <mergeCell ref="A27:I27"/>
    <mergeCell ref="F16:I16"/>
    <mergeCell ref="F17:I17"/>
  </mergeCells>
  <phoneticPr fontId="7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2"/>
  <sheetViews>
    <sheetView view="pageBreakPreview" workbookViewId="0">
      <selection activeCell="A30" sqref="A30:J30"/>
    </sheetView>
  </sheetViews>
  <sheetFormatPr defaultColWidth="8.85546875" defaultRowHeight="12.75" x14ac:dyDescent="0.2"/>
  <cols>
    <col min="1" max="2" width="11.7109375" style="212" customWidth="1"/>
    <col min="3" max="4" width="13.85546875" style="212" customWidth="1"/>
    <col min="5" max="5" width="13.85546875" style="213" customWidth="1"/>
    <col min="6" max="6" width="13.85546875" style="212" customWidth="1"/>
    <col min="7" max="8" width="13.85546875" style="214" customWidth="1"/>
    <col min="9" max="10" width="13.85546875" style="212" customWidth="1"/>
    <col min="11" max="11" width="11.7109375" style="212" customWidth="1"/>
    <col min="12" max="16384" width="8.85546875" style="212"/>
  </cols>
  <sheetData>
    <row r="1" spans="1:10" s="2" customFormat="1" ht="21.95" customHeight="1" x14ac:dyDescent="0.3">
      <c r="A1" s="1019" t="s">
        <v>19</v>
      </c>
      <c r="B1" s="1020"/>
      <c r="C1" s="1020"/>
      <c r="D1" s="1020"/>
      <c r="E1" s="1020"/>
      <c r="F1" s="1020"/>
      <c r="G1" s="1020"/>
      <c r="H1" s="1020"/>
      <c r="I1" s="1020"/>
      <c r="J1" s="1021"/>
    </row>
    <row r="2" spans="1:10" s="2" customFormat="1" ht="21.95" customHeight="1" x14ac:dyDescent="0.3">
      <c r="A2" s="1032" t="s">
        <v>340</v>
      </c>
      <c r="B2" s="1033"/>
      <c r="C2" s="1033"/>
      <c r="D2" s="1033"/>
      <c r="E2" s="1033"/>
      <c r="F2" s="1033"/>
      <c r="G2" s="1033"/>
      <c r="H2" s="1033"/>
      <c r="I2" s="1033"/>
      <c r="J2" s="1034"/>
    </row>
    <row r="3" spans="1:10" s="521" customFormat="1" ht="24.95" customHeight="1" x14ac:dyDescent="0.3">
      <c r="A3" s="1032" t="str">
        <f>'Forside 1'!A6:I6</f>
        <v>Gældende fra 1. september 2024</v>
      </c>
      <c r="B3" s="1033"/>
      <c r="C3" s="1033"/>
      <c r="D3" s="1033"/>
      <c r="E3" s="1033"/>
      <c r="F3" s="1033"/>
      <c r="G3" s="1033"/>
      <c r="H3" s="1033"/>
      <c r="I3" s="1033"/>
      <c r="J3" s="1034"/>
    </row>
    <row r="4" spans="1:10" s="521" customFormat="1" ht="24.95" customHeight="1" x14ac:dyDescent="0.25">
      <c r="A4" s="1464" t="s">
        <v>382</v>
      </c>
      <c r="B4" s="1465"/>
      <c r="C4" s="1465"/>
      <c r="D4" s="1465"/>
      <c r="E4" s="1465"/>
      <c r="F4" s="1465"/>
      <c r="G4" s="1465"/>
      <c r="H4" s="1465"/>
      <c r="I4" s="1465"/>
      <c r="J4" s="1466"/>
    </row>
    <row r="5" spans="1:10" s="2" customFormat="1" ht="18.95" customHeight="1" thickBot="1" x14ac:dyDescent="0.3">
      <c r="A5" s="1461" t="s">
        <v>383</v>
      </c>
      <c r="B5" s="1462"/>
      <c r="C5" s="1462"/>
      <c r="D5" s="1462"/>
      <c r="E5" s="1462"/>
      <c r="F5" s="1462"/>
      <c r="G5" s="1462"/>
      <c r="H5" s="1462"/>
      <c r="I5" s="1462"/>
      <c r="J5" s="1463"/>
    </row>
    <row r="6" spans="1:10" ht="21" thickBot="1" x14ac:dyDescent="0.35">
      <c r="A6" s="1352"/>
      <c r="B6" s="1352"/>
      <c r="C6" s="1352"/>
      <c r="D6" s="1352"/>
      <c r="E6" s="1352"/>
      <c r="F6" s="1352"/>
      <c r="G6" s="1352"/>
      <c r="H6" s="1352"/>
    </row>
    <row r="7" spans="1:10" ht="18" x14ac:dyDescent="0.25">
      <c r="A7" s="1342" t="s">
        <v>341</v>
      </c>
      <c r="B7" s="1343"/>
      <c r="C7" s="1343"/>
      <c r="D7" s="1343"/>
      <c r="E7" s="1343"/>
      <c r="F7" s="1343"/>
      <c r="G7" s="1343"/>
      <c r="H7" s="1343"/>
      <c r="I7" s="1343"/>
      <c r="J7" s="1344"/>
    </row>
    <row r="8" spans="1:10" ht="15.75" thickBot="1" x14ac:dyDescent="0.25">
      <c r="A8" s="1438" t="s">
        <v>342</v>
      </c>
      <c r="B8" s="1439"/>
      <c r="C8" s="1439"/>
      <c r="D8" s="1439"/>
      <c r="E8" s="1439"/>
      <c r="F8" s="1439"/>
      <c r="G8" s="1439"/>
      <c r="H8" s="1439"/>
      <c r="I8" s="1439"/>
      <c r="J8" s="1440"/>
    </row>
    <row r="9" spans="1:10" ht="15.95" customHeight="1" thickBot="1" x14ac:dyDescent="0.25">
      <c r="A9" s="1441" t="s">
        <v>353</v>
      </c>
      <c r="B9" s="1442"/>
      <c r="C9" s="1442"/>
      <c r="D9" s="1442"/>
      <c r="E9" s="1442"/>
      <c r="F9" s="1443"/>
      <c r="G9" s="1441" t="s">
        <v>168</v>
      </c>
      <c r="H9" s="1442"/>
      <c r="I9" s="1442"/>
      <c r="J9" s="1443"/>
    </row>
    <row r="10" spans="1:10" ht="30" customHeight="1" thickBot="1" x14ac:dyDescent="0.25">
      <c r="A10" s="666" t="s">
        <v>57</v>
      </c>
      <c r="B10" s="667" t="s">
        <v>75</v>
      </c>
      <c r="C10" s="668" t="s">
        <v>76</v>
      </c>
      <c r="D10" s="668" t="s">
        <v>77</v>
      </c>
      <c r="E10" s="668" t="s">
        <v>78</v>
      </c>
      <c r="F10" s="669" t="s">
        <v>79</v>
      </c>
      <c r="G10" s="666" t="s">
        <v>185</v>
      </c>
      <c r="H10" s="686" t="s">
        <v>186</v>
      </c>
      <c r="I10" s="681" t="s">
        <v>187</v>
      </c>
      <c r="J10" s="763">
        <v>0.16</v>
      </c>
    </row>
    <row r="11" spans="1:10" ht="15.95" customHeight="1" x14ac:dyDescent="0.2">
      <c r="A11" s="344">
        <v>9</v>
      </c>
      <c r="B11" s="663">
        <f>'Statens skalatrin'!D31</f>
        <v>21473.67</v>
      </c>
      <c r="C11" s="664">
        <f>'Statens skalatrin'!F31</f>
        <v>21902.080000000002</v>
      </c>
      <c r="D11" s="664">
        <f>'Statens skalatrin'!H31</f>
        <v>22198.92</v>
      </c>
      <c r="E11" s="664">
        <f>'Statens skalatrin'!J31</f>
        <v>22627.33</v>
      </c>
      <c r="F11" s="665">
        <f>'Statens skalatrin'!L31</f>
        <v>22924.080000000002</v>
      </c>
      <c r="G11" s="761">
        <f>'Statens skalatrin'!O31</f>
        <v>19992.45</v>
      </c>
      <c r="H11" s="764">
        <f>J11*1/3</f>
        <v>1066.2633333333333</v>
      </c>
      <c r="I11" s="765">
        <f>J11*2/3</f>
        <v>2132.5266666666666</v>
      </c>
      <c r="J11" s="766">
        <f>ROUND(G11*$J$10,2)</f>
        <v>3198.79</v>
      </c>
    </row>
    <row r="12" spans="1:10" ht="15.95" customHeight="1" x14ac:dyDescent="0.2">
      <c r="A12" s="662">
        <v>10</v>
      </c>
      <c r="B12" s="660">
        <f>'Statens skalatrin'!D34</f>
        <v>21834.33</v>
      </c>
      <c r="C12" s="645">
        <f>'Statens skalatrin'!F34</f>
        <v>22273.67</v>
      </c>
      <c r="D12" s="645">
        <f>'Statens skalatrin'!H34</f>
        <v>22577.67</v>
      </c>
      <c r="E12" s="645">
        <f>'Statens skalatrin'!J34</f>
        <v>23016.92</v>
      </c>
      <c r="F12" s="650">
        <f>'Statens skalatrin'!L34</f>
        <v>23321.17</v>
      </c>
      <c r="G12" s="625">
        <f>'Statens skalatrin'!O34</f>
        <v>20330.599999999999</v>
      </c>
      <c r="H12" s="767">
        <f t="shared" ref="H12:H16" si="0">J12*1/3</f>
        <v>1084.3</v>
      </c>
      <c r="I12" s="644">
        <f t="shared" ref="I12:I16" si="1">J12*2/3</f>
        <v>2168.6</v>
      </c>
      <c r="J12" s="670">
        <f t="shared" ref="J12:J16" si="2">ROUND(G12*$J$10,2)</f>
        <v>3252.9</v>
      </c>
    </row>
    <row r="13" spans="1:10" ht="15.95" customHeight="1" x14ac:dyDescent="0.2">
      <c r="A13" s="662">
        <v>11</v>
      </c>
      <c r="B13" s="660">
        <f>'Statens skalatrin'!D37</f>
        <v>22118.92</v>
      </c>
      <c r="C13" s="645">
        <f>'Statens skalatrin'!F37</f>
        <v>22569.08</v>
      </c>
      <c r="D13" s="645">
        <f>'Statens skalatrin'!H37</f>
        <v>22880.83</v>
      </c>
      <c r="E13" s="645">
        <f>'Statens skalatrin'!J37</f>
        <v>23331</v>
      </c>
      <c r="F13" s="650">
        <f>'Statens skalatrin'!L37</f>
        <v>23642.67</v>
      </c>
      <c r="G13" s="625">
        <f>'Statens skalatrin'!O37</f>
        <v>20677.98</v>
      </c>
      <c r="H13" s="767">
        <f t="shared" si="0"/>
        <v>1102.8266666666666</v>
      </c>
      <c r="I13" s="644">
        <f t="shared" si="1"/>
        <v>2205.6533333333332</v>
      </c>
      <c r="J13" s="670">
        <f t="shared" si="2"/>
        <v>3308.48</v>
      </c>
    </row>
    <row r="14" spans="1:10" ht="15.95" customHeight="1" x14ac:dyDescent="0.2">
      <c r="A14" s="662">
        <v>12</v>
      </c>
      <c r="B14" s="660">
        <f>'Statens skalatrin'!D40</f>
        <v>22499.75</v>
      </c>
      <c r="C14" s="645">
        <f>'Statens skalatrin'!F40</f>
        <v>22961.25</v>
      </c>
      <c r="D14" s="645">
        <f>'Statens skalatrin'!H40</f>
        <v>23281</v>
      </c>
      <c r="E14" s="645">
        <f>'Statens skalatrin'!J40</f>
        <v>23742.33</v>
      </c>
      <c r="F14" s="650">
        <f>'Statens skalatrin'!L40</f>
        <v>24061.83</v>
      </c>
      <c r="G14" s="625">
        <f>'Statens skalatrin'!O40</f>
        <v>21034.959999999999</v>
      </c>
      <c r="H14" s="767">
        <f t="shared" si="0"/>
        <v>1121.8633333333335</v>
      </c>
      <c r="I14" s="644">
        <f t="shared" si="1"/>
        <v>2243.7266666666669</v>
      </c>
      <c r="J14" s="670">
        <f t="shared" si="2"/>
        <v>3365.59</v>
      </c>
    </row>
    <row r="15" spans="1:10" ht="15.95" customHeight="1" x14ac:dyDescent="0.2">
      <c r="A15" s="662">
        <v>13</v>
      </c>
      <c r="B15" s="660">
        <f>'Statens skalatrin'!D43</f>
        <v>22891.25</v>
      </c>
      <c r="C15" s="645">
        <f>'Statens skalatrin'!F43</f>
        <v>23364.42</v>
      </c>
      <c r="D15" s="645">
        <f>'Statens skalatrin'!H43</f>
        <v>23691.83</v>
      </c>
      <c r="E15" s="645">
        <f>'Statens skalatrin'!J43</f>
        <v>24165.17</v>
      </c>
      <c r="F15" s="650">
        <f>'Statens skalatrin'!L43</f>
        <v>24492.58</v>
      </c>
      <c r="G15" s="625">
        <f>'Statens skalatrin'!O43</f>
        <v>21401.74</v>
      </c>
      <c r="H15" s="767">
        <f t="shared" si="0"/>
        <v>1141.4266666666667</v>
      </c>
      <c r="I15" s="644">
        <f t="shared" si="1"/>
        <v>2282.8533333333335</v>
      </c>
      <c r="J15" s="670">
        <f t="shared" si="2"/>
        <v>3424.28</v>
      </c>
    </row>
    <row r="16" spans="1:10" ht="15.95" customHeight="1" thickBot="1" x14ac:dyDescent="0.25">
      <c r="A16" s="295">
        <v>14</v>
      </c>
      <c r="B16" s="661">
        <f>'Statens skalatrin'!D46</f>
        <v>23293.5</v>
      </c>
      <c r="C16" s="653">
        <f>'Statens skalatrin'!F46</f>
        <v>23778.58</v>
      </c>
      <c r="D16" s="653">
        <f>'Statens skalatrin'!H46</f>
        <v>24114.33</v>
      </c>
      <c r="E16" s="653">
        <f>'Statens skalatrin'!J46</f>
        <v>24599.33</v>
      </c>
      <c r="F16" s="654">
        <f>'Statens skalatrin'!L46</f>
        <v>24935.08</v>
      </c>
      <c r="G16" s="762">
        <f>'Statens skalatrin'!O46</f>
        <v>21778.67</v>
      </c>
      <c r="H16" s="768">
        <f t="shared" si="0"/>
        <v>1161.53</v>
      </c>
      <c r="I16" s="655">
        <f t="shared" si="1"/>
        <v>2323.06</v>
      </c>
      <c r="J16" s="769">
        <f t="shared" si="2"/>
        <v>3484.59</v>
      </c>
    </row>
    <row r="17" spans="1:11" ht="15" customHeight="1" thickBot="1" x14ac:dyDescent="0.25">
      <c r="A17" s="732"/>
      <c r="B17" s="709"/>
      <c r="C17" s="656"/>
      <c r="D17" s="656"/>
      <c r="E17" s="656"/>
      <c r="F17" s="656"/>
      <c r="G17" s="673"/>
      <c r="H17" s="657"/>
      <c r="I17" s="657"/>
      <c r="J17" s="657"/>
      <c r="K17" s="657"/>
    </row>
    <row r="18" spans="1:11" ht="20.100000000000001" customHeight="1" x14ac:dyDescent="0.25">
      <c r="A18" s="1342" t="s">
        <v>343</v>
      </c>
      <c r="B18" s="1343"/>
      <c r="C18" s="1343"/>
      <c r="D18" s="1343"/>
      <c r="E18" s="1343"/>
      <c r="F18" s="1343"/>
      <c r="G18" s="1343"/>
      <c r="H18" s="1343"/>
      <c r="I18" s="1343"/>
      <c r="J18" s="1344"/>
    </row>
    <row r="19" spans="1:11" ht="20.100000000000001" customHeight="1" thickBot="1" x14ac:dyDescent="0.25">
      <c r="A19" s="1438" t="s">
        <v>342</v>
      </c>
      <c r="B19" s="1439"/>
      <c r="C19" s="1439"/>
      <c r="D19" s="1439"/>
      <c r="E19" s="1439"/>
      <c r="F19" s="1439"/>
      <c r="G19" s="1439"/>
      <c r="H19" s="1439"/>
      <c r="I19" s="1439"/>
      <c r="J19" s="1440"/>
    </row>
    <row r="20" spans="1:11" ht="20.100000000000001" customHeight="1" thickBot="1" x14ac:dyDescent="0.25">
      <c r="A20" s="1441" t="s">
        <v>353</v>
      </c>
      <c r="B20" s="1442"/>
      <c r="C20" s="1442"/>
      <c r="D20" s="1442"/>
      <c r="E20" s="1442"/>
      <c r="F20" s="1443"/>
      <c r="G20" s="1441" t="s">
        <v>168</v>
      </c>
      <c r="H20" s="1444"/>
      <c r="I20" s="1444"/>
      <c r="J20" s="1445"/>
    </row>
    <row r="21" spans="1:11" ht="30" customHeight="1" thickBot="1" x14ac:dyDescent="0.25">
      <c r="A21" s="666" t="s">
        <v>57</v>
      </c>
      <c r="B21" s="686" t="s">
        <v>75</v>
      </c>
      <c r="C21" s="681" t="s">
        <v>76</v>
      </c>
      <c r="D21" s="681" t="s">
        <v>77</v>
      </c>
      <c r="E21" s="681" t="s">
        <v>78</v>
      </c>
      <c r="F21" s="682" t="s">
        <v>79</v>
      </c>
      <c r="G21" s="427" t="s">
        <v>185</v>
      </c>
      <c r="H21" s="671" t="s">
        <v>186</v>
      </c>
      <c r="I21" s="668" t="s">
        <v>187</v>
      </c>
      <c r="J21" s="672">
        <f>J10</f>
        <v>0.16</v>
      </c>
    </row>
    <row r="22" spans="1:11" ht="15.95" customHeight="1" x14ac:dyDescent="0.2">
      <c r="A22" s="674">
        <v>16</v>
      </c>
      <c r="B22" s="683">
        <f>'Statens skalatrin'!D52</f>
        <v>24023.33</v>
      </c>
      <c r="C22" s="684">
        <f>'Statens skalatrin'!F52</f>
        <v>24533.17</v>
      </c>
      <c r="D22" s="684">
        <f>'Statens skalatrin'!H52</f>
        <v>24886.25</v>
      </c>
      <c r="E22" s="684">
        <f>'Statens skalatrin'!J52</f>
        <v>25396</v>
      </c>
      <c r="F22" s="685">
        <f>'Statens skalatrin'!L52</f>
        <v>25749.08</v>
      </c>
      <c r="G22" s="678">
        <f>'Statens skalatrin'!O52</f>
        <v>22563.74</v>
      </c>
      <c r="H22" s="764">
        <f>J22*1/3</f>
        <v>1203.3999999999999</v>
      </c>
      <c r="I22" s="765">
        <f>J22*2/3</f>
        <v>2406.7999999999997</v>
      </c>
      <c r="J22" s="766">
        <f>ROUND(G22*$J$10,2)</f>
        <v>3610.2</v>
      </c>
    </row>
    <row r="23" spans="1:11" ht="15.95" customHeight="1" x14ac:dyDescent="0.2">
      <c r="A23" s="648">
        <v>18</v>
      </c>
      <c r="B23" s="649">
        <f>'Statens skalatrin'!D58</f>
        <v>24908</v>
      </c>
      <c r="C23" s="645">
        <f>'Statens skalatrin'!F58</f>
        <v>25444.080000000002</v>
      </c>
      <c r="D23" s="645">
        <f>'Statens skalatrin'!H58</f>
        <v>25815.17</v>
      </c>
      <c r="E23" s="645">
        <f>'Statens skalatrin'!J58</f>
        <v>26351.25</v>
      </c>
      <c r="F23" s="650">
        <f>'Statens skalatrin'!L58</f>
        <v>26722.25</v>
      </c>
      <c r="G23" s="679">
        <f>'Statens skalatrin'!O58</f>
        <v>23392.58</v>
      </c>
      <c r="H23" s="767">
        <f t="shared" ref="H23:H27" si="3">J23*1/3</f>
        <v>1247.6033333333332</v>
      </c>
      <c r="I23" s="644">
        <f t="shared" ref="I23:I27" si="4">J23*2/3</f>
        <v>2495.2066666666665</v>
      </c>
      <c r="J23" s="670">
        <f t="shared" ref="J23:J27" si="5">ROUND(G23*$J$10,2)</f>
        <v>3742.81</v>
      </c>
    </row>
    <row r="24" spans="1:11" s="522" customFormat="1" ht="15.95" customHeight="1" x14ac:dyDescent="0.2">
      <c r="A24" s="648">
        <v>20</v>
      </c>
      <c r="B24" s="649">
        <f>'Statens skalatrin'!D64</f>
        <v>25590.17</v>
      </c>
      <c r="C24" s="645">
        <f>'Statens skalatrin'!F64</f>
        <v>26153.75</v>
      </c>
      <c r="D24" s="645">
        <f>'Statens skalatrin'!H64</f>
        <v>26544.080000000002</v>
      </c>
      <c r="E24" s="645">
        <f>'Statens skalatrin'!J64</f>
        <v>27107.75</v>
      </c>
      <c r="F24" s="650">
        <f>'Statens skalatrin'!L64</f>
        <v>27497.83</v>
      </c>
      <c r="G24" s="679">
        <f>'Statens skalatrin'!O64</f>
        <v>24267.59</v>
      </c>
      <c r="H24" s="767">
        <f t="shared" si="3"/>
        <v>1294.27</v>
      </c>
      <c r="I24" s="644">
        <f t="shared" si="4"/>
        <v>2588.54</v>
      </c>
      <c r="J24" s="670">
        <f t="shared" si="5"/>
        <v>3882.81</v>
      </c>
    </row>
    <row r="25" spans="1:11" s="522" customFormat="1" ht="15.95" customHeight="1" x14ac:dyDescent="0.2">
      <c r="A25" s="648">
        <v>22</v>
      </c>
      <c r="B25" s="649">
        <f>'Statens skalatrin'!D70</f>
        <v>26406.17</v>
      </c>
      <c r="C25" s="645">
        <f>'Statens skalatrin'!F70</f>
        <v>26984.33</v>
      </c>
      <c r="D25" s="645">
        <f>'Statens skalatrin'!H70</f>
        <v>27384.58</v>
      </c>
      <c r="E25" s="645">
        <f>'Statens skalatrin'!J70</f>
        <v>27962.67</v>
      </c>
      <c r="F25" s="650">
        <f>'Statens skalatrin'!L70</f>
        <v>28362.92</v>
      </c>
      <c r="G25" s="679">
        <f>'Statens skalatrin'!O70</f>
        <v>25178.78</v>
      </c>
      <c r="H25" s="767">
        <f t="shared" si="3"/>
        <v>1342.8666666666666</v>
      </c>
      <c r="I25" s="644">
        <f t="shared" si="4"/>
        <v>2685.7333333333331</v>
      </c>
      <c r="J25" s="670">
        <f t="shared" si="5"/>
        <v>4028.6</v>
      </c>
    </row>
    <row r="26" spans="1:11" ht="15.95" customHeight="1" x14ac:dyDescent="0.2">
      <c r="A26" s="648">
        <v>24</v>
      </c>
      <c r="B26" s="649">
        <f>'Statens skalatrin'!D76</f>
        <v>27260.25</v>
      </c>
      <c r="C26" s="645">
        <f>'Statens skalatrin'!F76</f>
        <v>27806.5</v>
      </c>
      <c r="D26" s="645">
        <f>'Statens skalatrin'!H76</f>
        <v>28184.75</v>
      </c>
      <c r="E26" s="645">
        <f>'Statens skalatrin'!J76</f>
        <v>28731.17</v>
      </c>
      <c r="F26" s="650">
        <f>'Statens skalatrin'!L76</f>
        <v>29109.42</v>
      </c>
      <c r="G26" s="679">
        <f>'Statens skalatrin'!O76</f>
        <v>26100.31</v>
      </c>
      <c r="H26" s="767">
        <f t="shared" si="3"/>
        <v>1392.0166666666667</v>
      </c>
      <c r="I26" s="644">
        <f t="shared" si="4"/>
        <v>2784.0333333333333</v>
      </c>
      <c r="J26" s="670">
        <f t="shared" si="5"/>
        <v>4176.05</v>
      </c>
    </row>
    <row r="27" spans="1:11" ht="15.95" customHeight="1" thickBot="1" x14ac:dyDescent="0.25">
      <c r="A27" s="658">
        <v>26</v>
      </c>
      <c r="B27" s="652">
        <f>'Statens skalatrin'!D82</f>
        <v>28156.58</v>
      </c>
      <c r="C27" s="653">
        <f>'Statens skalatrin'!F82</f>
        <v>28667.5</v>
      </c>
      <c r="D27" s="653">
        <f>'Statens skalatrin'!H82</f>
        <v>29021.25</v>
      </c>
      <c r="E27" s="653">
        <f>'Statens skalatrin'!J82</f>
        <v>29532.25</v>
      </c>
      <c r="F27" s="654">
        <f>'Statens skalatrin'!L82</f>
        <v>29885.919999999998</v>
      </c>
      <c r="G27" s="680">
        <f>'Statens skalatrin'!O82</f>
        <v>27071.57</v>
      </c>
      <c r="H27" s="768">
        <f t="shared" si="3"/>
        <v>1443.8166666666666</v>
      </c>
      <c r="I27" s="655">
        <f t="shared" si="4"/>
        <v>2887.6333333333332</v>
      </c>
      <c r="J27" s="769">
        <f t="shared" si="5"/>
        <v>4331.45</v>
      </c>
    </row>
    <row r="28" spans="1:11" ht="20.100000000000001" customHeight="1" thickBot="1" x14ac:dyDescent="0.25">
      <c r="A28" s="733"/>
      <c r="B28" s="710"/>
      <c r="C28" s="656"/>
      <c r="D28" s="656"/>
      <c r="E28" s="656"/>
      <c r="F28" s="656"/>
      <c r="G28" s="656"/>
      <c r="H28" s="656"/>
      <c r="I28" s="657"/>
      <c r="J28" s="657"/>
      <c r="K28" s="659"/>
    </row>
    <row r="29" spans="1:11" ht="20.100000000000001" customHeight="1" x14ac:dyDescent="0.25">
      <c r="A29" s="1342" t="s">
        <v>344</v>
      </c>
      <c r="B29" s="1343"/>
      <c r="C29" s="1343"/>
      <c r="D29" s="1343"/>
      <c r="E29" s="1343"/>
      <c r="F29" s="1343"/>
      <c r="G29" s="1343"/>
      <c r="H29" s="1343"/>
      <c r="I29" s="1343"/>
      <c r="J29" s="1344"/>
    </row>
    <row r="30" spans="1:11" ht="20.100000000000001" customHeight="1" thickBot="1" x14ac:dyDescent="0.25">
      <c r="A30" s="1438" t="s">
        <v>342</v>
      </c>
      <c r="B30" s="1439"/>
      <c r="C30" s="1439"/>
      <c r="D30" s="1439"/>
      <c r="E30" s="1439"/>
      <c r="F30" s="1439"/>
      <c r="G30" s="1439"/>
      <c r="H30" s="1439"/>
      <c r="I30" s="1439"/>
      <c r="J30" s="1440"/>
    </row>
    <row r="31" spans="1:11" s="254" customFormat="1" ht="20.100000000000001" customHeight="1" thickBot="1" x14ac:dyDescent="0.25">
      <c r="A31" s="1441" t="s">
        <v>353</v>
      </c>
      <c r="B31" s="1442"/>
      <c r="C31" s="1442"/>
      <c r="D31" s="1442"/>
      <c r="E31" s="1442"/>
      <c r="F31" s="1443"/>
      <c r="G31" s="1441" t="s">
        <v>168</v>
      </c>
      <c r="H31" s="1442"/>
      <c r="I31" s="1442"/>
      <c r="J31" s="1443"/>
    </row>
    <row r="32" spans="1:11" ht="30" customHeight="1" thickBot="1" x14ac:dyDescent="0.25">
      <c r="A32" s="427" t="s">
        <v>57</v>
      </c>
      <c r="B32" s="671" t="s">
        <v>75</v>
      </c>
      <c r="C32" s="668" t="s">
        <v>76</v>
      </c>
      <c r="D32" s="668" t="s">
        <v>77</v>
      </c>
      <c r="E32" s="668" t="s">
        <v>78</v>
      </c>
      <c r="F32" s="676" t="s">
        <v>79</v>
      </c>
      <c r="G32" s="666" t="s">
        <v>185</v>
      </c>
      <c r="H32" s="689" t="s">
        <v>186</v>
      </c>
      <c r="I32" s="666" t="s">
        <v>187</v>
      </c>
      <c r="J32" s="690">
        <f>J10</f>
        <v>0.16</v>
      </c>
    </row>
    <row r="33" spans="1:11" ht="15.95" customHeight="1" x14ac:dyDescent="0.2">
      <c r="A33" s="662">
        <v>27</v>
      </c>
      <c r="B33" s="663">
        <f>'Statens skalatrin'!D85</f>
        <v>28619.67</v>
      </c>
      <c r="C33" s="664">
        <f>'Statens skalatrin'!F85</f>
        <v>29110.92</v>
      </c>
      <c r="D33" s="664">
        <f>'Statens skalatrin'!H85</f>
        <v>29451.33</v>
      </c>
      <c r="E33" s="664">
        <f>'Statens skalatrin'!J85</f>
        <v>29942.67</v>
      </c>
      <c r="F33" s="677">
        <f>'Statens skalatrin'!L85</f>
        <v>30282.92</v>
      </c>
      <c r="G33" s="688">
        <f>'Statens skalatrin'!O85</f>
        <v>27576.23</v>
      </c>
      <c r="H33" s="764">
        <f>J33*1/3</f>
        <v>1470.7333333333333</v>
      </c>
      <c r="I33" s="765">
        <f>J33*2/3</f>
        <v>2941.4666666666667</v>
      </c>
      <c r="J33" s="766">
        <f>ROUND(G33*$J$10,2)</f>
        <v>4412.2</v>
      </c>
    </row>
    <row r="34" spans="1:11" ht="15.95" customHeight="1" x14ac:dyDescent="0.2">
      <c r="A34" s="662">
        <v>29</v>
      </c>
      <c r="B34" s="660">
        <f>'Statens skalatrin'!D91</f>
        <v>29577.42</v>
      </c>
      <c r="C34" s="645">
        <f>'Statens skalatrin'!F91</f>
        <v>30025.58</v>
      </c>
      <c r="D34" s="645">
        <f>'Statens skalatrin'!H91</f>
        <v>30336</v>
      </c>
      <c r="E34" s="645">
        <f>'Statens skalatrin'!J91</f>
        <v>30784.25</v>
      </c>
      <c r="F34" s="687">
        <f>'Statens skalatrin'!L91</f>
        <v>31094.58</v>
      </c>
      <c r="G34" s="575">
        <f>'Statens skalatrin'!O91</f>
        <v>28625.73</v>
      </c>
      <c r="H34" s="767">
        <f t="shared" ref="H34:H36" si="6">J34*1/3</f>
        <v>1526.7066666666667</v>
      </c>
      <c r="I34" s="644">
        <f t="shared" ref="I34:I36" si="7">J34*2/3</f>
        <v>3053.4133333333334</v>
      </c>
      <c r="J34" s="670">
        <f t="shared" ref="J34:J36" si="8">ROUND(G34*$J$10,2)</f>
        <v>4580.12</v>
      </c>
    </row>
    <row r="35" spans="1:11" ht="15.95" customHeight="1" x14ac:dyDescent="0.2">
      <c r="A35" s="662">
        <v>31</v>
      </c>
      <c r="B35" s="660">
        <f>'Statens skalatrin'!D97</f>
        <v>30578.33</v>
      </c>
      <c r="C35" s="645">
        <f>'Statens skalatrin'!F97</f>
        <v>30977.58</v>
      </c>
      <c r="D35" s="645">
        <f>'Statens skalatrin'!H97</f>
        <v>31254.080000000002</v>
      </c>
      <c r="E35" s="645">
        <f>'Statens skalatrin'!J97</f>
        <v>31653.33</v>
      </c>
      <c r="F35" s="687">
        <f>'Statens skalatrin'!L97</f>
        <v>31929.75</v>
      </c>
      <c r="G35" s="575">
        <f>'Statens skalatrin'!O97</f>
        <v>29730.75</v>
      </c>
      <c r="H35" s="767">
        <f t="shared" si="6"/>
        <v>1585.64</v>
      </c>
      <c r="I35" s="644">
        <f t="shared" si="7"/>
        <v>3171.28</v>
      </c>
      <c r="J35" s="670">
        <f t="shared" si="8"/>
        <v>4756.92</v>
      </c>
    </row>
    <row r="36" spans="1:11" s="522" customFormat="1" ht="15.95" customHeight="1" thickBot="1" x14ac:dyDescent="0.25">
      <c r="A36" s="295">
        <v>33</v>
      </c>
      <c r="B36" s="691">
        <f>'Statens skalatrin'!D103</f>
        <v>31624.33</v>
      </c>
      <c r="C36" s="646">
        <f>'Statens skalatrin'!F103</f>
        <v>31968.080000000002</v>
      </c>
      <c r="D36" s="646">
        <f>'Statens skalatrin'!H103</f>
        <v>32206.33</v>
      </c>
      <c r="E36" s="646">
        <f>'Statens skalatrin'!J103</f>
        <v>32550.25</v>
      </c>
      <c r="F36" s="692">
        <f>'Statens skalatrin'!L103</f>
        <v>32788.33</v>
      </c>
      <c r="G36" s="576">
        <f>'Statens skalatrin'!O103</f>
        <v>30894.26</v>
      </c>
      <c r="H36" s="770">
        <f t="shared" si="6"/>
        <v>1647.6933333333334</v>
      </c>
      <c r="I36" s="647">
        <f t="shared" si="7"/>
        <v>3295.3866666666668</v>
      </c>
      <c r="J36" s="769">
        <f t="shared" si="8"/>
        <v>4943.08</v>
      </c>
    </row>
    <row r="37" spans="1:11" s="693" customFormat="1" ht="20.100000000000001" customHeight="1" thickBot="1" x14ac:dyDescent="0.25">
      <c r="A37" s="733"/>
      <c r="B37" s="710"/>
      <c r="C37" s="656"/>
      <c r="D37" s="656"/>
      <c r="E37" s="656"/>
      <c r="F37" s="656"/>
      <c r="G37" s="656"/>
      <c r="H37" s="656"/>
      <c r="I37" s="657"/>
      <c r="J37" s="657"/>
      <c r="K37" s="659"/>
    </row>
    <row r="38" spans="1:11" s="522" customFormat="1" ht="20.100000000000001" customHeight="1" x14ac:dyDescent="0.25">
      <c r="A38" s="1342" t="s">
        <v>345</v>
      </c>
      <c r="B38" s="1343"/>
      <c r="C38" s="1343"/>
      <c r="D38" s="1343"/>
      <c r="E38" s="1343"/>
      <c r="F38" s="1343"/>
      <c r="G38" s="1343"/>
      <c r="H38" s="1343"/>
      <c r="I38" s="1343"/>
      <c r="J38" s="1344"/>
    </row>
    <row r="39" spans="1:11" ht="20.100000000000001" customHeight="1" thickBot="1" x14ac:dyDescent="0.25">
      <c r="A39" s="1438" t="s">
        <v>342</v>
      </c>
      <c r="B39" s="1439"/>
      <c r="C39" s="1439"/>
      <c r="D39" s="1439"/>
      <c r="E39" s="1439"/>
      <c r="F39" s="1439"/>
      <c r="G39" s="1439"/>
      <c r="H39" s="1439"/>
      <c r="I39" s="1439"/>
      <c r="J39" s="1440"/>
    </row>
    <row r="40" spans="1:11" ht="20.100000000000001" customHeight="1" thickBot="1" x14ac:dyDescent="0.25">
      <c r="A40" s="1441" t="s">
        <v>353</v>
      </c>
      <c r="B40" s="1442"/>
      <c r="C40" s="1442"/>
      <c r="D40" s="1442"/>
      <c r="E40" s="1442"/>
      <c r="F40" s="1443"/>
      <c r="G40" s="1441" t="s">
        <v>168</v>
      </c>
      <c r="H40" s="1442"/>
      <c r="I40" s="1442"/>
      <c r="J40" s="1443"/>
    </row>
    <row r="41" spans="1:11" ht="30" customHeight="1" thickBot="1" x14ac:dyDescent="0.25">
      <c r="A41" s="427" t="s">
        <v>57</v>
      </c>
      <c r="B41" s="671" t="s">
        <v>75</v>
      </c>
      <c r="C41" s="668" t="s">
        <v>76</v>
      </c>
      <c r="D41" s="668" t="s">
        <v>77</v>
      </c>
      <c r="E41" s="668" t="s">
        <v>78</v>
      </c>
      <c r="F41" s="669" t="s">
        <v>79</v>
      </c>
      <c r="G41" s="689" t="s">
        <v>185</v>
      </c>
      <c r="H41" s="689" t="s">
        <v>186</v>
      </c>
      <c r="I41" s="666" t="s">
        <v>187</v>
      </c>
      <c r="J41" s="690">
        <f>J10</f>
        <v>0.16</v>
      </c>
    </row>
    <row r="42" spans="1:11" s="238" customFormat="1" ht="15.95" customHeight="1" x14ac:dyDescent="0.2">
      <c r="A42" s="662">
        <v>34</v>
      </c>
      <c r="B42" s="675">
        <f>'Statens skalatrin'!D106</f>
        <v>32164.92</v>
      </c>
      <c r="C42" s="663">
        <f>'Statens skalatrin'!F106</f>
        <v>32478.58</v>
      </c>
      <c r="D42" s="663">
        <f>'Statens skalatrin'!H106</f>
        <v>32695.75</v>
      </c>
      <c r="E42" s="663">
        <f>'Statens skalatrin'!J106</f>
        <v>33009.25</v>
      </c>
      <c r="F42" s="696">
        <f>'Statens skalatrin'!L106</f>
        <v>33226.42</v>
      </c>
      <c r="G42" s="700">
        <f>'Statens skalatrin'!O106</f>
        <v>31498.959999999999</v>
      </c>
      <c r="H42" s="764">
        <f>J42*1/3</f>
        <v>1679.9433333333334</v>
      </c>
      <c r="I42" s="765">
        <f>J42*2/3</f>
        <v>3359.8866666666668</v>
      </c>
      <c r="J42" s="766">
        <f>ROUND(G42*$J$10,2)</f>
        <v>5039.83</v>
      </c>
    </row>
    <row r="43" spans="1:11" s="238" customFormat="1" ht="15.95" customHeight="1" x14ac:dyDescent="0.2">
      <c r="A43" s="662">
        <v>36</v>
      </c>
      <c r="B43" s="649">
        <f>'Statens skalatrin'!D112</f>
        <v>33282.080000000002</v>
      </c>
      <c r="C43" s="660">
        <f>'Statens skalatrin'!F112</f>
        <v>33529.75</v>
      </c>
      <c r="D43" s="660">
        <f>'Statens skalatrin'!H112</f>
        <v>33701.25</v>
      </c>
      <c r="E43" s="660">
        <f>'Statens skalatrin'!J112</f>
        <v>33949</v>
      </c>
      <c r="F43" s="679">
        <f>'Statens skalatrin'!L112</f>
        <v>34120.42</v>
      </c>
      <c r="G43" s="575">
        <f>'Statens skalatrin'!O112</f>
        <v>32756.1</v>
      </c>
      <c r="H43" s="767">
        <f t="shared" ref="H43:H46" si="9">J43*1/3</f>
        <v>1746.9933333333331</v>
      </c>
      <c r="I43" s="644">
        <f t="shared" ref="I43:I46" si="10">J43*2/3</f>
        <v>3493.9866666666662</v>
      </c>
      <c r="J43" s="670">
        <f t="shared" ref="J43:J46" si="11">ROUND(G43*$J$10,2)</f>
        <v>5240.9799999999996</v>
      </c>
    </row>
    <row r="44" spans="1:11" s="238" customFormat="1" ht="15.95" customHeight="1" x14ac:dyDescent="0.2">
      <c r="A44" s="662">
        <v>40</v>
      </c>
      <c r="B44" s="649">
        <f>'Statens skalatrin'!D124</f>
        <v>35712.83</v>
      </c>
      <c r="C44" s="660">
        <f>'Statens skalatrin'!F124</f>
        <v>35806.17</v>
      </c>
      <c r="D44" s="660">
        <f>'Statens skalatrin'!H124</f>
        <v>35870.83</v>
      </c>
      <c r="E44" s="660">
        <f>'Statens skalatrin'!J124</f>
        <v>35964.17</v>
      </c>
      <c r="F44" s="679">
        <f>'Statens skalatrin'!L124</f>
        <v>36028.83</v>
      </c>
      <c r="G44" s="575">
        <f>'Statens skalatrin'!O124</f>
        <v>35514.410000000003</v>
      </c>
      <c r="H44" s="767">
        <f t="shared" si="9"/>
        <v>1894.1033333333335</v>
      </c>
      <c r="I44" s="644">
        <f t="shared" si="10"/>
        <v>3788.2066666666669</v>
      </c>
      <c r="J44" s="670">
        <f t="shared" si="11"/>
        <v>5682.31</v>
      </c>
    </row>
    <row r="45" spans="1:11" s="238" customFormat="1" ht="15.95" customHeight="1" x14ac:dyDescent="0.2">
      <c r="A45" s="694">
        <v>42</v>
      </c>
      <c r="B45" s="697">
        <f>'Statens skalatrin'!D130</f>
        <v>37011.919999999998</v>
      </c>
      <c r="C45" s="695">
        <f>'Statens skalatrin'!F130</f>
        <v>37011.919999999998</v>
      </c>
      <c r="D45" s="695">
        <f>'Statens skalatrin'!H130</f>
        <v>37011.919999999998</v>
      </c>
      <c r="E45" s="695">
        <f>'Statens skalatrin'!J130</f>
        <v>37011.919999999998</v>
      </c>
      <c r="F45" s="698">
        <f>'Statens skalatrin'!L130</f>
        <v>37011.919999999998</v>
      </c>
      <c r="G45" s="643">
        <f>'Statens skalatrin'!O130</f>
        <v>37011.81</v>
      </c>
      <c r="H45" s="767">
        <f t="shared" si="9"/>
        <v>1973.9633333333334</v>
      </c>
      <c r="I45" s="644">
        <f t="shared" si="10"/>
        <v>3947.9266666666667</v>
      </c>
      <c r="J45" s="670">
        <f t="shared" si="11"/>
        <v>5921.89</v>
      </c>
    </row>
    <row r="46" spans="1:11" ht="15.95" customHeight="1" thickBot="1" x14ac:dyDescent="0.25">
      <c r="A46" s="295">
        <v>43</v>
      </c>
      <c r="B46" s="651">
        <f>'Statens skalatrin'!D133</f>
        <v>37833.58</v>
      </c>
      <c r="C46" s="691">
        <f>'Statens skalatrin'!F133</f>
        <v>37833.58</v>
      </c>
      <c r="D46" s="691">
        <f>'Statens skalatrin'!H133</f>
        <v>37833.58</v>
      </c>
      <c r="E46" s="691">
        <f>'Statens skalatrin'!J133</f>
        <v>37833.58</v>
      </c>
      <c r="F46" s="699">
        <f>'Statens skalatrin'!L133</f>
        <v>37833.58</v>
      </c>
      <c r="G46" s="576">
        <f>'Statens skalatrin'!O133</f>
        <v>37833.519999999997</v>
      </c>
      <c r="H46" s="770">
        <f t="shared" si="9"/>
        <v>2017.7866666666666</v>
      </c>
      <c r="I46" s="647">
        <f t="shared" si="10"/>
        <v>4035.5733333333333</v>
      </c>
      <c r="J46" s="769">
        <f t="shared" si="11"/>
        <v>6053.36</v>
      </c>
    </row>
    <row r="47" spans="1:11" s="254" customFormat="1" ht="20.100000000000001" customHeight="1" thickBot="1" x14ac:dyDescent="0.25">
      <c r="A47" s="733"/>
      <c r="B47" s="710"/>
      <c r="C47" s="656"/>
      <c r="D47" s="656"/>
      <c r="E47" s="656"/>
      <c r="F47" s="656"/>
      <c r="G47" s="673"/>
      <c r="H47" s="656"/>
      <c r="I47" s="657"/>
      <c r="J47" s="657"/>
      <c r="K47" s="657"/>
    </row>
    <row r="48" spans="1:11" ht="20.100000000000001" customHeight="1" x14ac:dyDescent="0.2">
      <c r="A48" s="891" t="s">
        <v>191</v>
      </c>
      <c r="B48" s="1045"/>
      <c r="C48" s="1045"/>
      <c r="D48" s="1045"/>
      <c r="E48" s="1045"/>
      <c r="F48" s="1045"/>
      <c r="G48" s="1045"/>
      <c r="H48" s="1045"/>
      <c r="I48" s="1045"/>
      <c r="J48" s="1046"/>
    </row>
    <row r="49" spans="1:11" ht="17.100000000000001" customHeight="1" thickBot="1" x14ac:dyDescent="0.25">
      <c r="A49" s="1446" t="s">
        <v>275</v>
      </c>
      <c r="B49" s="1447"/>
      <c r="C49" s="1447"/>
      <c r="D49" s="1447"/>
      <c r="E49" s="1447"/>
      <c r="F49" s="1447"/>
      <c r="G49" s="1447"/>
      <c r="H49" s="1447"/>
      <c r="I49" s="1447"/>
      <c r="J49" s="1448"/>
    </row>
    <row r="50" spans="1:11" ht="15" x14ac:dyDescent="0.2">
      <c r="A50" s="701"/>
      <c r="B50" s="702"/>
      <c r="C50" s="702"/>
      <c r="D50" s="702"/>
      <c r="E50" s="702"/>
      <c r="F50" s="705"/>
      <c r="G50" s="1455" t="s">
        <v>302</v>
      </c>
      <c r="H50" s="1456"/>
      <c r="I50" s="1455" t="s">
        <v>303</v>
      </c>
      <c r="J50" s="1456"/>
    </row>
    <row r="51" spans="1:11" ht="15.75" thickBot="1" x14ac:dyDescent="0.25">
      <c r="A51" s="703"/>
      <c r="B51" s="704"/>
      <c r="C51" s="704"/>
      <c r="D51" s="704"/>
      <c r="E51" s="704"/>
      <c r="F51" s="642"/>
      <c r="G51" s="1457">
        <v>40999</v>
      </c>
      <c r="H51" s="1458"/>
      <c r="I51" s="1457" t="str">
        <f>'Løntabel gældende fra'!$D$1</f>
        <v>01/04/24</v>
      </c>
      <c r="J51" s="1458"/>
    </row>
    <row r="52" spans="1:11" ht="15.95" customHeight="1" thickBot="1" x14ac:dyDescent="0.25">
      <c r="A52" s="1449" t="s">
        <v>356</v>
      </c>
      <c r="B52" s="1450"/>
      <c r="C52" s="1450"/>
      <c r="D52" s="1450"/>
      <c r="E52" s="1450"/>
      <c r="F52" s="1451"/>
      <c r="G52" s="1459">
        <v>136.5</v>
      </c>
      <c r="H52" s="1460"/>
      <c r="I52" s="1374">
        <f>ROUND(+G52*(1+'Løntabel gældende fra'!$D$7/100),2)</f>
        <v>167.63</v>
      </c>
      <c r="J52" s="1373"/>
    </row>
    <row r="53" spans="1:11" ht="15.95" customHeight="1" thickBot="1" x14ac:dyDescent="0.25">
      <c r="A53" s="1452" t="s">
        <v>346</v>
      </c>
      <c r="B53" s="1453"/>
      <c r="C53" s="1453"/>
      <c r="D53" s="1453"/>
      <c r="E53" s="1453"/>
      <c r="F53" s="1454"/>
      <c r="G53" s="1374">
        <v>186.5</v>
      </c>
      <c r="H53" s="1373"/>
      <c r="I53" s="1374">
        <f>ROUND(+G53*(1+'Løntabel gældende fra'!$D$7/100),2)</f>
        <v>229.03</v>
      </c>
      <c r="J53" s="1373"/>
    </row>
    <row r="54" spans="1:11" ht="20.100000000000001" customHeight="1" thickBot="1" x14ac:dyDescent="0.25">
      <c r="A54" s="706"/>
      <c r="B54" s="482"/>
      <c r="C54" s="482"/>
      <c r="D54" s="482"/>
      <c r="E54" s="482"/>
      <c r="F54" s="482"/>
      <c r="G54" s="706"/>
      <c r="H54" s="55"/>
      <c r="I54" s="55"/>
      <c r="J54" s="55"/>
      <c r="K54" s="55"/>
    </row>
    <row r="55" spans="1:11" ht="20.100000000000001" customHeight="1" x14ac:dyDescent="0.2">
      <c r="A55" s="891" t="s">
        <v>196</v>
      </c>
      <c r="B55" s="1045"/>
      <c r="C55" s="1045"/>
      <c r="D55" s="1045"/>
      <c r="E55" s="1045"/>
      <c r="F55" s="1045"/>
      <c r="G55" s="1045"/>
      <c r="H55" s="1045"/>
      <c r="I55" s="1045"/>
      <c r="J55" s="1046"/>
    </row>
    <row r="56" spans="1:11" ht="21" customHeight="1" thickBot="1" x14ac:dyDescent="0.25">
      <c r="A56" s="1446" t="s">
        <v>314</v>
      </c>
      <c r="B56" s="1447"/>
      <c r="C56" s="1447"/>
      <c r="D56" s="1447"/>
      <c r="E56" s="1447"/>
      <c r="F56" s="1447"/>
      <c r="G56" s="1447"/>
      <c r="H56" s="1447"/>
      <c r="I56" s="1447"/>
      <c r="J56" s="1448"/>
    </row>
    <row r="57" spans="1:11" ht="15" x14ac:dyDescent="0.2">
      <c r="A57" s="701"/>
      <c r="B57" s="702"/>
      <c r="C57" s="702"/>
      <c r="D57" s="702"/>
      <c r="E57" s="702"/>
      <c r="F57" s="705"/>
      <c r="G57" s="1455" t="s">
        <v>350</v>
      </c>
      <c r="H57" s="1456"/>
      <c r="I57" s="1455" t="s">
        <v>348</v>
      </c>
      <c r="J57" s="1456"/>
    </row>
    <row r="58" spans="1:11" ht="15.75" thickBot="1" x14ac:dyDescent="0.25">
      <c r="A58" s="703"/>
      <c r="B58" s="704"/>
      <c r="C58" s="704"/>
      <c r="D58" s="704"/>
      <c r="E58" s="704"/>
      <c r="F58" s="642"/>
      <c r="G58" s="1457">
        <v>40999</v>
      </c>
      <c r="H58" s="1458"/>
      <c r="I58" s="1457" t="str">
        <f>'Løntabel gældende fra'!$D$1</f>
        <v>01/04/24</v>
      </c>
      <c r="J58" s="1458"/>
    </row>
    <row r="59" spans="1:11" ht="15.95" customHeight="1" thickBot="1" x14ac:dyDescent="0.25">
      <c r="A59" s="713" t="s">
        <v>347</v>
      </c>
      <c r="B59" s="714"/>
      <c r="C59" s="714"/>
      <c r="D59" s="714"/>
      <c r="E59" s="714"/>
      <c r="F59" s="715"/>
      <c r="G59" s="1459">
        <v>300</v>
      </c>
      <c r="H59" s="1460"/>
      <c r="I59" s="1374">
        <f>ROUND(+G59*(1+'Løntabel gældende fra'!$D$7/100),2)</f>
        <v>368.42</v>
      </c>
      <c r="J59" s="1373"/>
    </row>
    <row r="60" spans="1:11" ht="20.100000000000001" customHeight="1" thickBot="1" x14ac:dyDescent="0.25">
      <c r="A60" s="1426"/>
      <c r="B60" s="1426"/>
      <c r="C60" s="1426"/>
      <c r="D60" s="1426"/>
      <c r="E60" s="1426"/>
      <c r="F60" s="1426"/>
      <c r="G60" s="1426"/>
      <c r="H60" s="1426"/>
      <c r="I60" s="456"/>
      <c r="J60" s="10"/>
      <c r="K60" s="10"/>
    </row>
    <row r="61" spans="1:11" ht="20.100000000000001" customHeight="1" thickBot="1" x14ac:dyDescent="0.25">
      <c r="A61" s="924" t="s">
        <v>349</v>
      </c>
      <c r="B61" s="925"/>
      <c r="C61" s="925"/>
      <c r="D61" s="925"/>
      <c r="E61" s="925"/>
      <c r="F61" s="925"/>
      <c r="G61" s="925"/>
      <c r="H61" s="978"/>
      <c r="I61" s="456"/>
      <c r="J61" s="10"/>
      <c r="K61" s="10"/>
    </row>
    <row r="62" spans="1:11" ht="20.100000000000001" customHeight="1" thickBot="1" x14ac:dyDescent="0.25">
      <c r="A62" s="723"/>
      <c r="B62" s="724"/>
      <c r="C62" s="1433" t="s">
        <v>387</v>
      </c>
      <c r="D62" s="1253"/>
      <c r="E62" s="1260"/>
      <c r="F62" s="1433" t="s">
        <v>388</v>
      </c>
      <c r="G62" s="1253"/>
      <c r="H62" s="1260"/>
      <c r="I62" s="456"/>
      <c r="J62" s="10"/>
      <c r="K62" s="10"/>
    </row>
    <row r="63" spans="1:11" ht="20.100000000000001" customHeight="1" x14ac:dyDescent="0.2">
      <c r="A63" s="707"/>
      <c r="B63" s="708"/>
      <c r="C63" s="1431" t="s">
        <v>131</v>
      </c>
      <c r="D63" s="1431" t="s">
        <v>131</v>
      </c>
      <c r="E63" s="1431" t="s">
        <v>243</v>
      </c>
      <c r="F63" s="1431" t="s">
        <v>131</v>
      </c>
      <c r="G63" s="1431" t="s">
        <v>131</v>
      </c>
      <c r="H63" s="1431" t="s">
        <v>243</v>
      </c>
      <c r="I63" s="711"/>
      <c r="J63" s="712"/>
      <c r="K63" s="712"/>
    </row>
    <row r="64" spans="1:11" ht="20.100000000000001" customHeight="1" x14ac:dyDescent="0.2">
      <c r="A64" s="707"/>
      <c r="B64" s="708"/>
      <c r="C64" s="1432"/>
      <c r="D64" s="1432"/>
      <c r="E64" s="1432"/>
      <c r="F64" s="1432"/>
      <c r="G64" s="1432"/>
      <c r="H64" s="1432"/>
      <c r="I64" s="711"/>
      <c r="J64" s="712"/>
      <c r="K64" s="712"/>
    </row>
    <row r="65" spans="1:11" ht="20.100000000000001" customHeight="1" thickBot="1" x14ac:dyDescent="0.25">
      <c r="A65" s="716"/>
      <c r="B65" s="725"/>
      <c r="C65" s="717">
        <f>G58</f>
        <v>40999</v>
      </c>
      <c r="D65" s="717" t="str">
        <f>I58</f>
        <v>01/04/24</v>
      </c>
      <c r="E65" s="717" t="str">
        <f>I58</f>
        <v>01/04/24</v>
      </c>
      <c r="F65" s="717">
        <f>C65</f>
        <v>40999</v>
      </c>
      <c r="G65" s="717" t="str">
        <f t="shared" ref="G65:H65" si="12">D65</f>
        <v>01/04/24</v>
      </c>
      <c r="H65" s="717" t="str">
        <f t="shared" si="12"/>
        <v>01/04/24</v>
      </c>
      <c r="I65" s="711"/>
      <c r="J65" s="712"/>
      <c r="K65" s="712"/>
    </row>
    <row r="66" spans="1:11" ht="15.95" customHeight="1" thickBot="1" x14ac:dyDescent="0.25">
      <c r="A66" s="1424" t="s">
        <v>352</v>
      </c>
      <c r="B66" s="1425"/>
      <c r="C66" s="729"/>
      <c r="D66" s="729"/>
      <c r="E66" s="729"/>
      <c r="F66" s="729"/>
      <c r="G66" s="729"/>
      <c r="H66" s="729"/>
      <c r="I66" s="711"/>
      <c r="J66" s="712"/>
      <c r="K66" s="712"/>
    </row>
    <row r="67" spans="1:11" ht="15.95" customHeight="1" x14ac:dyDescent="0.2">
      <c r="A67" s="1434" t="s">
        <v>313</v>
      </c>
      <c r="B67" s="1435"/>
      <c r="C67" s="719">
        <v>103542</v>
      </c>
      <c r="D67" s="720">
        <f>ROUND(C67+(C67*'Løntabel gældende fra'!$D$7%),2)</f>
        <v>127156.51</v>
      </c>
      <c r="E67" s="720">
        <f>ROUND(D67/12,2)</f>
        <v>10596.38</v>
      </c>
      <c r="F67" s="720">
        <v>106163</v>
      </c>
      <c r="G67" s="720">
        <f>ROUND(F67+(F67*'Løntabel gældende fra'!$D$7%),2)</f>
        <v>130375.28</v>
      </c>
      <c r="H67" s="719">
        <f>ROUND(G67/12,2)</f>
        <v>10864.61</v>
      </c>
      <c r="I67" s="456"/>
      <c r="J67" s="10"/>
      <c r="K67" s="10"/>
    </row>
    <row r="68" spans="1:11" ht="15.95" customHeight="1" x14ac:dyDescent="0.2">
      <c r="A68" s="1427" t="s">
        <v>312</v>
      </c>
      <c r="B68" s="1428"/>
      <c r="C68" s="721">
        <v>110751</v>
      </c>
      <c r="D68" s="720">
        <f>ROUND(C68+(C68*'Løntabel gældende fra'!$D$7%),2)</f>
        <v>136009.65</v>
      </c>
      <c r="E68" s="720">
        <f t="shared" ref="E68:E70" si="13">ROUND(D68/12,2)</f>
        <v>11334.14</v>
      </c>
      <c r="F68" s="721">
        <v>114027</v>
      </c>
      <c r="G68" s="720">
        <f>ROUND(F68+(F68*'Løntabel gældende fra'!$D$7%),2)</f>
        <v>140032.79999999999</v>
      </c>
      <c r="H68" s="719">
        <f t="shared" ref="H68:H70" si="14">ROUND(G68/12,2)</f>
        <v>11669.4</v>
      </c>
      <c r="I68" s="456"/>
      <c r="J68" s="10"/>
      <c r="K68" s="10"/>
    </row>
    <row r="69" spans="1:11" ht="15.95" customHeight="1" x14ac:dyDescent="0.2">
      <c r="A69" s="1427" t="s">
        <v>311</v>
      </c>
      <c r="B69" s="1428"/>
      <c r="C69" s="721">
        <v>117959</v>
      </c>
      <c r="D69" s="720">
        <f>ROUND(C69+(C69*'Løntabel gældende fra'!$D$7%),2)</f>
        <v>144861.56</v>
      </c>
      <c r="E69" s="720">
        <f t="shared" si="13"/>
        <v>12071.8</v>
      </c>
      <c r="F69" s="721">
        <v>121236</v>
      </c>
      <c r="G69" s="720">
        <f>ROUND(F69+(F69*'Løntabel gældende fra'!$D$7%),2)</f>
        <v>148885.93</v>
      </c>
      <c r="H69" s="719">
        <f t="shared" si="14"/>
        <v>12407.16</v>
      </c>
      <c r="I69" s="456"/>
      <c r="J69" s="10"/>
      <c r="K69" s="10"/>
    </row>
    <row r="70" spans="1:11" ht="15.95" customHeight="1" thickBot="1" x14ac:dyDescent="0.25">
      <c r="A70" s="1429" t="s">
        <v>310</v>
      </c>
      <c r="B70" s="1430"/>
      <c r="C70" s="722">
        <v>126479</v>
      </c>
      <c r="D70" s="720">
        <f>ROUND(C70+(C70*'Løntabel gældende fra'!$D$7%),2)</f>
        <v>155324.69</v>
      </c>
      <c r="E70" s="720">
        <f t="shared" si="13"/>
        <v>12943.72</v>
      </c>
      <c r="F70" s="722">
        <v>130411</v>
      </c>
      <c r="G70" s="720">
        <f>ROUND(F70+(F70*'Løntabel gældende fra'!$D$7%),2)</f>
        <v>160153.45000000001</v>
      </c>
      <c r="H70" s="719">
        <f t="shared" si="14"/>
        <v>13346.12</v>
      </c>
      <c r="I70" s="456"/>
      <c r="J70" s="10"/>
      <c r="K70" s="10"/>
    </row>
    <row r="71" spans="1:11" ht="15.95" customHeight="1" thickBot="1" x14ac:dyDescent="0.25">
      <c r="A71" s="1424" t="s">
        <v>351</v>
      </c>
      <c r="B71" s="1425"/>
      <c r="C71" s="726"/>
      <c r="D71" s="726"/>
      <c r="E71" s="726"/>
      <c r="F71" s="727"/>
      <c r="G71" s="726"/>
      <c r="H71" s="728"/>
      <c r="I71" s="456"/>
      <c r="J71" s="10"/>
      <c r="K71" s="10"/>
    </row>
    <row r="72" spans="1:11" ht="15.95" customHeight="1" x14ac:dyDescent="0.2">
      <c r="A72" s="1434" t="s">
        <v>313</v>
      </c>
      <c r="B72" s="1435"/>
      <c r="C72" s="719">
        <v>130411</v>
      </c>
      <c r="D72" s="720">
        <f>ROUND(C72+(C72*'Løntabel gældende fra'!$D$7%),2)</f>
        <v>160153.45000000001</v>
      </c>
      <c r="E72" s="720">
        <f>ROUND(D72/12,2)</f>
        <v>13346.12</v>
      </c>
      <c r="F72" s="720">
        <v>133687</v>
      </c>
      <c r="G72" s="720">
        <f>ROUND(F72+(F72*'Løntabel gældende fra'!$D$7%),2)</f>
        <v>164176.59</v>
      </c>
      <c r="H72" s="719">
        <f>ROUND(G72/12,2)</f>
        <v>13681.38</v>
      </c>
      <c r="I72" s="456"/>
      <c r="J72" s="10"/>
      <c r="K72" s="10"/>
    </row>
    <row r="73" spans="1:11" ht="15.95" customHeight="1" x14ac:dyDescent="0.2">
      <c r="A73" s="1427" t="s">
        <v>312</v>
      </c>
      <c r="B73" s="1428"/>
      <c r="C73" s="721">
        <v>137619</v>
      </c>
      <c r="D73" s="720">
        <f>ROUND(C73+(C73*'Løntabel gældende fra'!$D$7%),2)</f>
        <v>169005.35</v>
      </c>
      <c r="E73" s="720">
        <f t="shared" ref="E73:E75" si="15">ROUND(D73/12,2)</f>
        <v>14083.78</v>
      </c>
      <c r="F73" s="721">
        <v>140896</v>
      </c>
      <c r="G73" s="720">
        <f>ROUND(F73+(F73*'Løntabel gældende fra'!$D$7%),2)</f>
        <v>173029.73</v>
      </c>
      <c r="H73" s="719">
        <f t="shared" ref="H73:H75" si="16">ROUND(G73/12,2)</f>
        <v>14419.14</v>
      </c>
      <c r="I73" s="456"/>
      <c r="J73" s="10"/>
      <c r="K73" s="10"/>
    </row>
    <row r="74" spans="1:11" ht="15.95" customHeight="1" x14ac:dyDescent="0.2">
      <c r="A74" s="1427" t="s">
        <v>311</v>
      </c>
      <c r="B74" s="1428"/>
      <c r="C74" s="721">
        <v>147777</v>
      </c>
      <c r="D74" s="720">
        <f>ROUND(C74+(C74*'Løntabel gældende fra'!$D$7%),2)</f>
        <v>181480.06</v>
      </c>
      <c r="E74" s="720">
        <f t="shared" si="15"/>
        <v>15123.34</v>
      </c>
      <c r="F74" s="721">
        <v>152037</v>
      </c>
      <c r="G74" s="720">
        <f>ROUND(F74+(F74*'Løntabel gældende fra'!$D$7%),2)</f>
        <v>186711.62</v>
      </c>
      <c r="H74" s="719">
        <f t="shared" si="16"/>
        <v>15559.3</v>
      </c>
      <c r="I74" s="456"/>
      <c r="J74" s="10"/>
      <c r="K74" s="10"/>
    </row>
    <row r="75" spans="1:11" s="254" customFormat="1" ht="15.95" customHeight="1" thickBot="1" x14ac:dyDescent="0.25">
      <c r="A75" s="1429" t="s">
        <v>310</v>
      </c>
      <c r="B75" s="1430"/>
      <c r="C75" s="722">
        <v>155641</v>
      </c>
      <c r="D75" s="720">
        <f>ROUND(C75+(C75*'Løntabel gældende fra'!$D$7%),2)</f>
        <v>191137.58</v>
      </c>
      <c r="E75" s="720">
        <f t="shared" si="15"/>
        <v>15928.13</v>
      </c>
      <c r="F75" s="722">
        <v>160556</v>
      </c>
      <c r="G75" s="720">
        <f>ROUND(F75+(F75*'Løntabel gældende fra'!$D$7%),2)</f>
        <v>197173.53</v>
      </c>
      <c r="H75" s="719">
        <f t="shared" si="16"/>
        <v>16431.13</v>
      </c>
      <c r="I75" s="456"/>
      <c r="J75" s="55"/>
      <c r="K75" s="55"/>
    </row>
    <row r="76" spans="1:11" ht="15.95" customHeight="1" thickBot="1" x14ac:dyDescent="0.25">
      <c r="A76" s="730" t="s">
        <v>354</v>
      </c>
      <c r="B76" s="730"/>
      <c r="C76" s="726"/>
      <c r="D76" s="726"/>
      <c r="E76" s="726"/>
      <c r="F76" s="727"/>
      <c r="G76" s="726"/>
      <c r="H76" s="728"/>
      <c r="I76" s="456"/>
      <c r="J76" s="10"/>
      <c r="K76" s="10"/>
    </row>
    <row r="77" spans="1:11" ht="15.95" customHeight="1" thickBot="1" x14ac:dyDescent="0.25">
      <c r="A77" s="1436" t="s">
        <v>355</v>
      </c>
      <c r="B77" s="1437"/>
      <c r="C77" s="718">
        <v>220533</v>
      </c>
      <c r="D77" s="718">
        <f>ROUND(C77+(C77*'Løntabel gældende fra'!$D$7%),2)</f>
        <v>270829.3</v>
      </c>
      <c r="E77" s="718">
        <f>ROUND(D77/12,2)</f>
        <v>22569.11</v>
      </c>
      <c r="F77" s="718">
        <v>222812</v>
      </c>
      <c r="G77" s="718">
        <f>ROUND(F77+(F77*'Løntabel gældende fra'!$D$7%),2)</f>
        <v>273628.06</v>
      </c>
      <c r="H77" s="731">
        <f>ROUND(G77/12,2)</f>
        <v>22802.34</v>
      </c>
      <c r="I77" s="456"/>
      <c r="J77" s="10"/>
      <c r="K77" s="10"/>
    </row>
    <row r="78" spans="1:11" x14ac:dyDescent="0.2">
      <c r="A78" s="224"/>
      <c r="B78" s="224"/>
      <c r="C78" s="224"/>
      <c r="D78" s="225"/>
    </row>
    <row r="79" spans="1:11" x14ac:dyDescent="0.2">
      <c r="D79" s="226"/>
    </row>
    <row r="80" spans="1:11" x14ac:dyDescent="0.2">
      <c r="D80" s="226"/>
    </row>
    <row r="81" spans="4:4" x14ac:dyDescent="0.2">
      <c r="D81" s="226"/>
    </row>
    <row r="82" spans="4:4" x14ac:dyDescent="0.2">
      <c r="D82" s="227"/>
    </row>
  </sheetData>
  <sheetProtection sheet="1" objects="1" scenarios="1"/>
  <mergeCells count="63">
    <mergeCell ref="A8:J8"/>
    <mergeCell ref="G9:J9"/>
    <mergeCell ref="A9:F9"/>
    <mergeCell ref="A6:H6"/>
    <mergeCell ref="A1:J1"/>
    <mergeCell ref="A2:J2"/>
    <mergeCell ref="A3:J3"/>
    <mergeCell ref="A5:J5"/>
    <mergeCell ref="A7:J7"/>
    <mergeCell ref="A4:J4"/>
    <mergeCell ref="G50:H50"/>
    <mergeCell ref="G51:H51"/>
    <mergeCell ref="G52:H52"/>
    <mergeCell ref="G53:H53"/>
    <mergeCell ref="I52:J52"/>
    <mergeCell ref="I50:J50"/>
    <mergeCell ref="I51:J51"/>
    <mergeCell ref="A52:F52"/>
    <mergeCell ref="A53:F53"/>
    <mergeCell ref="A55:J55"/>
    <mergeCell ref="A56:J56"/>
    <mergeCell ref="D63:D64"/>
    <mergeCell ref="E63:E64"/>
    <mergeCell ref="F63:F64"/>
    <mergeCell ref="G63:G64"/>
    <mergeCell ref="G57:H57"/>
    <mergeCell ref="I57:J57"/>
    <mergeCell ref="G58:H58"/>
    <mergeCell ref="I58:J58"/>
    <mergeCell ref="G59:H59"/>
    <mergeCell ref="I59:J59"/>
    <mergeCell ref="I53:J53"/>
    <mergeCell ref="A38:J38"/>
    <mergeCell ref="A39:J39"/>
    <mergeCell ref="A40:F40"/>
    <mergeCell ref="A48:J48"/>
    <mergeCell ref="A49:J49"/>
    <mergeCell ref="G40:J40"/>
    <mergeCell ref="A29:J29"/>
    <mergeCell ref="A30:J30"/>
    <mergeCell ref="A31:F31"/>
    <mergeCell ref="A18:J18"/>
    <mergeCell ref="A19:J19"/>
    <mergeCell ref="A20:F20"/>
    <mergeCell ref="G31:J31"/>
    <mergeCell ref="G20:J20"/>
    <mergeCell ref="A77:B77"/>
    <mergeCell ref="A68:B68"/>
    <mergeCell ref="A69:B69"/>
    <mergeCell ref="A70:B70"/>
    <mergeCell ref="A71:B71"/>
    <mergeCell ref="A72:B72"/>
    <mergeCell ref="A66:B66"/>
    <mergeCell ref="A60:H60"/>
    <mergeCell ref="A73:B73"/>
    <mergeCell ref="A74:B74"/>
    <mergeCell ref="A75:B75"/>
    <mergeCell ref="H63:H64"/>
    <mergeCell ref="C62:E62"/>
    <mergeCell ref="F62:H62"/>
    <mergeCell ref="A61:H61"/>
    <mergeCell ref="A67:B67"/>
    <mergeCell ref="C63:C64"/>
  </mergeCells>
  <phoneticPr fontId="7" type="noConversion"/>
  <pageMargins left="0.7" right="0.7" top="0.75" bottom="0.75" header="0.3" footer="0.3"/>
  <pageSetup paperSize="9" scale="53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11"/>
  <sheetViews>
    <sheetView view="pageBreakPreview" zoomScaleSheetLayoutView="100" workbookViewId="0">
      <selection activeCell="A18" sqref="A18"/>
    </sheetView>
  </sheetViews>
  <sheetFormatPr defaultColWidth="8.85546875" defaultRowHeight="15" x14ac:dyDescent="0.25"/>
  <cols>
    <col min="1" max="1" width="13.28515625" customWidth="1"/>
    <col min="2" max="3" width="11.28515625" customWidth="1"/>
    <col min="4" max="6" width="9.85546875" customWidth="1"/>
    <col min="7" max="7" width="12.7109375" customWidth="1"/>
    <col min="8" max="8" width="12.140625" customWidth="1"/>
    <col min="9" max="9" width="9.7109375" customWidth="1"/>
    <col min="10" max="10" width="20" customWidth="1"/>
    <col min="11" max="11" width="9.7109375" bestFit="1" customWidth="1"/>
  </cols>
  <sheetData>
    <row r="1" spans="1:20" ht="30" customHeight="1" thickBot="1" x14ac:dyDescent="0.3">
      <c r="A1" s="1484" t="s">
        <v>128</v>
      </c>
      <c r="B1" s="1485"/>
      <c r="C1" s="1485"/>
      <c r="D1" s="1485"/>
      <c r="E1" s="1485"/>
      <c r="F1" s="1485"/>
      <c r="G1" s="1485"/>
      <c r="H1" s="1486"/>
      <c r="I1" s="1500"/>
      <c r="J1" s="1501"/>
    </row>
    <row r="2" spans="1:20" ht="12" customHeight="1" thickBot="1" x14ac:dyDescent="0.3">
      <c r="A2" s="1499"/>
      <c r="B2" s="1499"/>
      <c r="C2" s="1499"/>
      <c r="D2" s="1499"/>
      <c r="E2" s="1499"/>
      <c r="F2" s="1499"/>
      <c r="G2" s="1499"/>
      <c r="H2" s="1499"/>
      <c r="I2" s="1499"/>
      <c r="J2" s="1499"/>
      <c r="K2" s="2"/>
      <c r="L2" s="2"/>
      <c r="M2" s="2"/>
    </row>
    <row r="3" spans="1:20" ht="26.1" customHeight="1" thickBot="1" x14ac:dyDescent="0.3">
      <c r="A3" s="924" t="s">
        <v>415</v>
      </c>
      <c r="B3" s="925"/>
      <c r="C3" s="925"/>
      <c r="D3" s="925"/>
      <c r="E3" s="925"/>
      <c r="F3" s="925"/>
      <c r="G3" s="925"/>
      <c r="H3" s="978"/>
      <c r="I3" s="1502"/>
      <c r="J3" s="1190"/>
      <c r="K3" s="2"/>
    </row>
    <row r="4" spans="1:20" ht="21" customHeight="1" thickBot="1" x14ac:dyDescent="0.3">
      <c r="A4" s="88"/>
      <c r="B4" s="1510" t="s">
        <v>37</v>
      </c>
      <c r="C4" s="1511"/>
      <c r="D4" s="1511"/>
      <c r="E4" s="1511"/>
      <c r="F4" s="1511"/>
      <c r="G4" s="1511"/>
      <c r="H4" s="1512"/>
      <c r="I4" s="1502"/>
      <c r="J4" s="1190"/>
      <c r="K4" s="2"/>
    </row>
    <row r="5" spans="1:20" ht="15" customHeight="1" x14ac:dyDescent="0.25">
      <c r="A5" s="1479"/>
      <c r="B5" s="1186" t="s">
        <v>34</v>
      </c>
      <c r="C5" s="1185"/>
      <c r="D5" s="1186" t="s">
        <v>105</v>
      </c>
      <c r="E5" s="1185"/>
      <c r="F5" s="1186" t="s">
        <v>106</v>
      </c>
      <c r="G5" s="1185"/>
      <c r="H5" s="1481" t="s">
        <v>107</v>
      </c>
      <c r="I5" s="1502"/>
      <c r="J5" s="1190"/>
      <c r="K5" s="2"/>
    </row>
    <row r="6" spans="1:20" ht="33.75" customHeight="1" thickBot="1" x14ac:dyDescent="0.3">
      <c r="A6" s="1480"/>
      <c r="B6" s="1188"/>
      <c r="C6" s="1189"/>
      <c r="D6" s="1188"/>
      <c r="E6" s="1189"/>
      <c r="F6" s="1188"/>
      <c r="G6" s="1189"/>
      <c r="H6" s="1482"/>
      <c r="I6" s="1502"/>
      <c r="J6" s="1190"/>
      <c r="K6" s="2"/>
    </row>
    <row r="7" spans="1:20" ht="17.100000000000001" customHeight="1" x14ac:dyDescent="0.25">
      <c r="A7" s="89" t="s">
        <v>35</v>
      </c>
      <c r="B7" s="1504">
        <v>99</v>
      </c>
      <c r="C7" s="1505"/>
      <c r="D7" s="1504">
        <v>66</v>
      </c>
      <c r="E7" s="1505"/>
      <c r="F7" s="1487">
        <v>33</v>
      </c>
      <c r="G7" s="1487"/>
      <c r="H7" s="129">
        <v>0</v>
      </c>
      <c r="I7" s="1502"/>
      <c r="J7" s="1190"/>
      <c r="K7" s="2"/>
    </row>
    <row r="8" spans="1:20" ht="17.100000000000001" customHeight="1" thickBot="1" x14ac:dyDescent="0.3">
      <c r="A8" s="90" t="s">
        <v>36</v>
      </c>
      <c r="B8" s="1488">
        <v>198</v>
      </c>
      <c r="C8" s="1489"/>
      <c r="D8" s="1506">
        <v>132</v>
      </c>
      <c r="E8" s="1507"/>
      <c r="F8" s="1483">
        <v>66</v>
      </c>
      <c r="G8" s="1483"/>
      <c r="H8" s="130">
        <v>0</v>
      </c>
      <c r="I8" s="1502"/>
      <c r="J8" s="1190"/>
      <c r="K8" s="2"/>
    </row>
    <row r="9" spans="1:20" ht="17.100000000000001" customHeight="1" thickBot="1" x14ac:dyDescent="0.3">
      <c r="A9" s="91" t="s">
        <v>22</v>
      </c>
      <c r="B9" s="1490">
        <f>SUM(B7:C8)</f>
        <v>297</v>
      </c>
      <c r="C9" s="1490"/>
      <c r="D9" s="1508">
        <f>SUM(D7:E8)</f>
        <v>198</v>
      </c>
      <c r="E9" s="1509"/>
      <c r="F9" s="1490">
        <f>SUM(F7:G8)</f>
        <v>99</v>
      </c>
      <c r="G9" s="1490"/>
      <c r="H9" s="131">
        <f>SUM(H7:I8)</f>
        <v>0</v>
      </c>
      <c r="I9" s="1502"/>
      <c r="J9" s="1190"/>
      <c r="K9" s="132"/>
    </row>
    <row r="10" spans="1:20" ht="17.100000000000001" customHeight="1" x14ac:dyDescent="0.25">
      <c r="A10" s="1503" t="s">
        <v>414</v>
      </c>
      <c r="B10" s="1503"/>
      <c r="C10" s="1503"/>
      <c r="D10" s="1503"/>
      <c r="E10" s="1503"/>
      <c r="F10" s="1503"/>
      <c r="G10" s="1503"/>
      <c r="H10" s="1503"/>
      <c r="I10" s="811"/>
      <c r="J10" s="811"/>
      <c r="K10" s="6"/>
      <c r="L10" s="2"/>
      <c r="M10" s="132"/>
    </row>
    <row r="11" spans="1:20" ht="15.95" customHeight="1" thickBot="1" x14ac:dyDescent="0.3">
      <c r="A11" s="1499"/>
      <c r="B11" s="1499"/>
      <c r="C11" s="1499"/>
      <c r="D11" s="1499"/>
      <c r="E11" s="1499"/>
      <c r="F11" s="1499"/>
      <c r="G11" s="1499"/>
      <c r="H11" s="1499"/>
      <c r="I11" s="1499"/>
      <c r="J11" s="1499"/>
      <c r="K11" s="2"/>
      <c r="L11" s="2"/>
      <c r="M11" s="2"/>
    </row>
    <row r="12" spans="1:20" s="2" customFormat="1" ht="26.1" customHeight="1" thickBot="1" x14ac:dyDescent="0.3">
      <c r="A12" s="1491" t="s">
        <v>67</v>
      </c>
      <c r="B12" s="1492"/>
      <c r="C12" s="1492"/>
      <c r="D12" s="1492"/>
      <c r="E12" s="1492"/>
      <c r="F12" s="1492"/>
      <c r="G12" s="1492"/>
      <c r="H12" s="1493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 x14ac:dyDescent="0.3">
      <c r="A13" s="1494" t="s">
        <v>197</v>
      </c>
      <c r="B13" s="1495"/>
      <c r="C13" s="1495"/>
      <c r="D13" s="1495"/>
      <c r="E13" s="1495"/>
      <c r="F13" s="1495"/>
      <c r="G13" s="1496"/>
      <c r="H13" s="104" t="s">
        <v>66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.100000000000001" customHeight="1" thickBot="1" x14ac:dyDescent="0.3">
      <c r="A14" s="1521" t="s">
        <v>68</v>
      </c>
      <c r="B14" s="1522"/>
      <c r="C14" s="1522"/>
      <c r="D14" s="1522"/>
      <c r="E14" s="1522"/>
      <c r="F14" s="1522"/>
      <c r="G14" s="1523"/>
      <c r="H14" s="105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 x14ac:dyDescent="0.3">
      <c r="A15" s="1524" t="s">
        <v>393</v>
      </c>
      <c r="B15" s="1525"/>
      <c r="C15" s="1525"/>
      <c r="D15" s="1525"/>
      <c r="E15" s="1525"/>
      <c r="F15" s="1525"/>
      <c r="G15" s="1526"/>
      <c r="H15" s="106" t="s">
        <v>92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5.95" customHeight="1" x14ac:dyDescent="0.25">
      <c r="A16" s="1527" t="s">
        <v>428</v>
      </c>
      <c r="B16" s="1528"/>
      <c r="C16" s="1528"/>
      <c r="D16" s="1528"/>
      <c r="E16" s="1528"/>
      <c r="F16" s="1528"/>
      <c r="G16" s="1529"/>
      <c r="H16" s="1533">
        <v>176.5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47.1" customHeight="1" thickBot="1" x14ac:dyDescent="0.3">
      <c r="A17" s="1530"/>
      <c r="B17" s="1531"/>
      <c r="C17" s="1531"/>
      <c r="D17" s="1531"/>
      <c r="E17" s="1531"/>
      <c r="F17" s="1531"/>
      <c r="G17" s="1532"/>
      <c r="H17" s="1534"/>
      <c r="M17" s="16"/>
      <c r="N17" s="16"/>
      <c r="O17" s="16"/>
      <c r="P17" s="16"/>
      <c r="Q17" s="16"/>
      <c r="R17" s="16"/>
      <c r="S17" s="16"/>
      <c r="T17" s="16"/>
    </row>
    <row r="18" spans="1:20" s="2" customFormat="1" ht="15.95" customHeight="1" thickBot="1" x14ac:dyDescent="0.3">
      <c r="A18" s="20"/>
      <c r="B18" s="20"/>
      <c r="C18" s="20"/>
      <c r="D18" s="20"/>
      <c r="E18" s="20"/>
      <c r="F18" s="20"/>
      <c r="G18" s="20"/>
      <c r="H18" s="20"/>
      <c r="M18" s="16"/>
      <c r="N18" s="16"/>
      <c r="O18" s="16"/>
      <c r="P18" s="16"/>
      <c r="Q18" s="16"/>
      <c r="R18" s="16"/>
      <c r="S18" s="16"/>
      <c r="T18" s="16"/>
    </row>
    <row r="19" spans="1:20" ht="26.1" customHeight="1" thickBot="1" x14ac:dyDescent="0.3">
      <c r="A19" s="924" t="s">
        <v>259</v>
      </c>
      <c r="B19" s="925"/>
      <c r="C19" s="925"/>
      <c r="D19" s="925"/>
      <c r="E19" s="925"/>
      <c r="F19" s="925"/>
      <c r="G19" s="925"/>
      <c r="H19" s="978"/>
      <c r="I19" s="20"/>
      <c r="J19" s="20"/>
      <c r="K19" s="2"/>
      <c r="L19" s="2"/>
      <c r="M19" s="2"/>
    </row>
    <row r="20" spans="1:20" ht="24" customHeight="1" x14ac:dyDescent="0.25">
      <c r="A20" s="1536" t="s">
        <v>38</v>
      </c>
      <c r="B20" s="1186" t="s">
        <v>42</v>
      </c>
      <c r="C20" s="1187"/>
      <c r="D20" s="1185"/>
      <c r="E20" s="1186" t="s">
        <v>42</v>
      </c>
      <c r="F20" s="1187"/>
      <c r="G20" s="1187"/>
      <c r="H20" s="1185"/>
      <c r="I20" s="17"/>
      <c r="J20" s="17"/>
      <c r="K20" s="17"/>
      <c r="L20" s="2"/>
      <c r="M20" s="2"/>
      <c r="N20" s="2"/>
    </row>
    <row r="21" spans="1:20" ht="15.75" thickBot="1" x14ac:dyDescent="0.3">
      <c r="A21" s="1480"/>
      <c r="B21" s="1518">
        <v>40999</v>
      </c>
      <c r="C21" s="1519"/>
      <c r="D21" s="1520"/>
      <c r="E21" s="1518" t="str">
        <f>'Løntabel gældende fra'!$D$1</f>
        <v>01/04/24</v>
      </c>
      <c r="F21" s="1519"/>
      <c r="G21" s="1519"/>
      <c r="H21" s="1520"/>
      <c r="I21" s="1517"/>
      <c r="J21" s="1517"/>
      <c r="K21" s="1517"/>
      <c r="L21" s="2"/>
      <c r="M21" s="2"/>
      <c r="N21" s="2"/>
    </row>
    <row r="22" spans="1:20" ht="17.100000000000001" customHeight="1" x14ac:dyDescent="0.25">
      <c r="A22" s="84" t="s">
        <v>39</v>
      </c>
      <c r="B22" s="1542">
        <v>6000</v>
      </c>
      <c r="C22" s="1543"/>
      <c r="D22" s="1544"/>
      <c r="E22" s="1537">
        <f>ROUND(B22+B22*'Løntabel gældende fra'!$D$7%,2)</f>
        <v>7368.4</v>
      </c>
      <c r="F22" s="1537"/>
      <c r="G22" s="1537"/>
      <c r="H22" s="1538"/>
      <c r="I22" s="1517"/>
      <c r="J22" s="1517"/>
      <c r="K22" s="1517"/>
      <c r="L22" s="2"/>
      <c r="M22" s="2"/>
      <c r="N22" s="2"/>
    </row>
    <row r="23" spans="1:20" ht="17.100000000000001" customHeight="1" x14ac:dyDescent="0.25">
      <c r="A23" s="85" t="s">
        <v>40</v>
      </c>
      <c r="B23" s="1545">
        <v>7600</v>
      </c>
      <c r="C23" s="1546"/>
      <c r="D23" s="1547"/>
      <c r="E23" s="1540">
        <f>ROUND(B23+B23*'Løntabel gældende fra'!$D$7%,2)</f>
        <v>9333.31</v>
      </c>
      <c r="F23" s="1540"/>
      <c r="G23" s="1540"/>
      <c r="H23" s="1541"/>
      <c r="I23" s="1539"/>
      <c r="J23" s="1539"/>
      <c r="K23" s="24"/>
      <c r="L23" s="2"/>
      <c r="M23" s="2"/>
      <c r="N23" s="2"/>
    </row>
    <row r="24" spans="1:20" ht="17.100000000000001" customHeight="1" thickBot="1" x14ac:dyDescent="0.3">
      <c r="A24" s="86" t="s">
        <v>41</v>
      </c>
      <c r="B24" s="1550">
        <v>9000</v>
      </c>
      <c r="C24" s="1551"/>
      <c r="D24" s="1552"/>
      <c r="E24" s="1548">
        <f>ROUND(B24+B24*'Løntabel gældende fra'!$D$7%,2)</f>
        <v>11052.6</v>
      </c>
      <c r="F24" s="1548"/>
      <c r="G24" s="1548"/>
      <c r="H24" s="1549"/>
      <c r="I24" s="1535"/>
      <c r="J24" s="1535"/>
      <c r="K24" s="25"/>
      <c r="L24" s="2"/>
      <c r="M24" s="2"/>
      <c r="N24" s="2"/>
    </row>
    <row r="25" spans="1:20" ht="14.1" customHeight="1" thickBot="1" x14ac:dyDescent="0.3">
      <c r="A25" s="2"/>
      <c r="B25" s="2"/>
      <c r="C25" s="2"/>
      <c r="D25" s="2"/>
      <c r="E25" s="2"/>
      <c r="F25" s="2"/>
      <c r="G25" s="2"/>
      <c r="H25" s="2"/>
      <c r="I25" s="1535"/>
      <c r="J25" s="1535"/>
      <c r="K25" s="25"/>
      <c r="L25" s="2"/>
      <c r="M25" s="2"/>
      <c r="N25" s="2"/>
    </row>
    <row r="26" spans="1:20" ht="26.1" customHeight="1" thickBot="1" x14ac:dyDescent="0.3">
      <c r="A26" s="924" t="s">
        <v>316</v>
      </c>
      <c r="B26" s="925"/>
      <c r="C26" s="925"/>
      <c r="D26" s="925"/>
      <c r="E26" s="925"/>
      <c r="F26" s="925"/>
      <c r="G26" s="925"/>
      <c r="H26" s="978"/>
      <c r="I26" s="2"/>
      <c r="J26" s="2"/>
      <c r="K26" s="2"/>
      <c r="L26" s="2"/>
      <c r="M26" s="2"/>
    </row>
    <row r="27" spans="1:20" ht="18.75" customHeight="1" thickBot="1" x14ac:dyDescent="0.3">
      <c r="A27" s="1570" t="str">
        <f>'Forside 1'!A6</f>
        <v>Gældende fra 1. september 2024</v>
      </c>
      <c r="B27" s="1571"/>
      <c r="C27" s="1571"/>
      <c r="D27" s="1572"/>
      <c r="E27" s="920" t="s">
        <v>133</v>
      </c>
      <c r="F27" s="921"/>
      <c r="G27" s="1467" t="s">
        <v>134</v>
      </c>
      <c r="H27" s="1469"/>
      <c r="I27" s="206"/>
      <c r="J27" s="2"/>
      <c r="K27" s="2"/>
      <c r="L27" s="2"/>
      <c r="M27" s="2"/>
    </row>
    <row r="28" spans="1:20" ht="62.1" customHeight="1" thickBot="1" x14ac:dyDescent="0.3">
      <c r="A28" s="1573"/>
      <c r="B28" s="1574"/>
      <c r="C28" s="1574"/>
      <c r="D28" s="1575"/>
      <c r="E28" s="526" t="s">
        <v>318</v>
      </c>
      <c r="F28" s="526" t="s">
        <v>290</v>
      </c>
      <c r="G28" s="497" t="s">
        <v>318</v>
      </c>
      <c r="H28" s="527" t="s">
        <v>290</v>
      </c>
      <c r="I28" s="559"/>
      <c r="J28" s="559"/>
      <c r="K28" s="26"/>
      <c r="L28" s="2"/>
      <c r="M28" s="2"/>
      <c r="N28" s="2"/>
    </row>
    <row r="29" spans="1:20" ht="17.100000000000001" customHeight="1" x14ac:dyDescent="0.25">
      <c r="A29" s="1470" t="s">
        <v>135</v>
      </c>
      <c r="B29" s="1471"/>
      <c r="C29" s="1471"/>
      <c r="D29" s="558"/>
      <c r="E29" s="528">
        <v>494</v>
      </c>
      <c r="F29" s="202">
        <f t="shared" ref="F29:F34" si="0">ROUND(E29/24,2)</f>
        <v>20.58</v>
      </c>
      <c r="G29" s="270">
        <v>574</v>
      </c>
      <c r="H29" s="532">
        <f t="shared" ref="H29:H34" si="1">ROUND(G29/24,2)</f>
        <v>23.92</v>
      </c>
      <c r="I29" s="559"/>
      <c r="J29" s="559"/>
      <c r="K29" s="26"/>
      <c r="L29" s="2"/>
      <c r="M29" s="2"/>
      <c r="N29" s="2"/>
    </row>
    <row r="30" spans="1:20" ht="17.100000000000001" customHeight="1" x14ac:dyDescent="0.25">
      <c r="A30" s="1568" t="s">
        <v>293</v>
      </c>
      <c r="B30" s="1569"/>
      <c r="C30" s="1569"/>
      <c r="D30" s="557"/>
      <c r="E30" s="529">
        <f>(E29*15)/100</f>
        <v>74.099999999999994</v>
      </c>
      <c r="F30" s="203">
        <f t="shared" si="0"/>
        <v>3.09</v>
      </c>
      <c r="G30" s="271">
        <f>(G29*15)/100</f>
        <v>86.1</v>
      </c>
      <c r="H30" s="533">
        <f t="shared" si="1"/>
        <v>3.59</v>
      </c>
      <c r="I30" s="201"/>
      <c r="K30" s="46"/>
      <c r="L30" s="2"/>
      <c r="M30" s="2"/>
      <c r="N30" s="2"/>
    </row>
    <row r="31" spans="1:20" ht="17.100000000000001" customHeight="1" x14ac:dyDescent="0.25">
      <c r="A31" s="1568" t="s">
        <v>294</v>
      </c>
      <c r="B31" s="1569"/>
      <c r="C31" s="1569"/>
      <c r="D31" s="557"/>
      <c r="E31" s="529">
        <f>(E29*30)/100</f>
        <v>148.19999999999999</v>
      </c>
      <c r="F31" s="203">
        <f t="shared" si="0"/>
        <v>6.18</v>
      </c>
      <c r="G31" s="272">
        <f>(G29*30)/100</f>
        <v>172.2</v>
      </c>
      <c r="H31" s="533">
        <f t="shared" si="1"/>
        <v>7.18</v>
      </c>
      <c r="I31" s="201"/>
      <c r="K31" s="47"/>
      <c r="L31" s="274"/>
      <c r="M31" s="2"/>
      <c r="N31" s="2"/>
    </row>
    <row r="32" spans="1:20" ht="17.100000000000001" customHeight="1" x14ac:dyDescent="0.25">
      <c r="A32" s="1568" t="s">
        <v>295</v>
      </c>
      <c r="B32" s="1569"/>
      <c r="C32" s="1569"/>
      <c r="D32" s="557"/>
      <c r="E32" s="529">
        <f>(E29*30)/100</f>
        <v>148.19999999999999</v>
      </c>
      <c r="F32" s="203">
        <f t="shared" si="0"/>
        <v>6.18</v>
      </c>
      <c r="G32" s="273">
        <f>(G29*30)/100</f>
        <v>172.2</v>
      </c>
      <c r="H32" s="533">
        <f t="shared" si="1"/>
        <v>7.18</v>
      </c>
      <c r="I32" s="201"/>
      <c r="K32" s="48"/>
      <c r="L32" s="2"/>
      <c r="M32" s="2"/>
      <c r="N32" s="2"/>
    </row>
    <row r="33" spans="1:14" ht="17.100000000000001" customHeight="1" x14ac:dyDescent="0.25">
      <c r="A33" s="1568" t="s">
        <v>296</v>
      </c>
      <c r="B33" s="1569"/>
      <c r="C33" s="1569"/>
      <c r="D33" s="557"/>
      <c r="E33" s="529">
        <f>(E29*75)/100</f>
        <v>370.5</v>
      </c>
      <c r="F33" s="203">
        <f t="shared" si="0"/>
        <v>15.44</v>
      </c>
      <c r="G33" s="272">
        <f>(G29*75)/100</f>
        <v>430.5</v>
      </c>
      <c r="H33" s="533">
        <f t="shared" si="1"/>
        <v>17.940000000000001</v>
      </c>
      <c r="I33" s="201"/>
      <c r="K33" s="49"/>
      <c r="L33" s="2"/>
      <c r="M33" s="2"/>
      <c r="N33" s="2"/>
    </row>
    <row r="34" spans="1:14" ht="17.100000000000001" customHeight="1" thickBot="1" x14ac:dyDescent="0.3">
      <c r="A34" s="1583" t="s">
        <v>58</v>
      </c>
      <c r="B34" s="1584"/>
      <c r="C34" s="1584"/>
      <c r="D34" s="496"/>
      <c r="E34" s="530">
        <f>E29-E33</f>
        <v>123.5</v>
      </c>
      <c r="F34" s="204">
        <f t="shared" si="0"/>
        <v>5.15</v>
      </c>
      <c r="G34" s="446">
        <f>G29-G33</f>
        <v>143.5</v>
      </c>
      <c r="H34" s="534">
        <f t="shared" si="1"/>
        <v>5.98</v>
      </c>
      <c r="I34" s="201"/>
      <c r="K34" s="49"/>
      <c r="L34" s="2"/>
      <c r="M34" s="2"/>
      <c r="N34" s="2"/>
    </row>
    <row r="35" spans="1:14" ht="17.100000000000001" customHeight="1" thickBot="1" x14ac:dyDescent="0.3">
      <c r="A35" s="73"/>
      <c r="B35" s="73"/>
      <c r="C35" s="73"/>
      <c r="D35" s="93"/>
      <c r="E35" s="93"/>
      <c r="F35" s="93"/>
      <c r="G35" s="531"/>
      <c r="H35" s="201"/>
      <c r="I35" s="201"/>
      <c r="K35" s="49"/>
      <c r="L35" s="2"/>
      <c r="M35" s="2"/>
      <c r="N35" s="2"/>
    </row>
    <row r="36" spans="1:14" ht="26.1" customHeight="1" thickBot="1" x14ac:dyDescent="0.3">
      <c r="A36" s="924" t="s">
        <v>59</v>
      </c>
      <c r="B36" s="925"/>
      <c r="C36" s="925"/>
      <c r="D36" s="925"/>
      <c r="E36" s="925"/>
      <c r="F36" s="925"/>
      <c r="G36" s="925"/>
      <c r="H36" s="978"/>
      <c r="J36" s="2"/>
      <c r="K36" s="2"/>
      <c r="L36" s="2"/>
      <c r="M36" s="2"/>
    </row>
    <row r="37" spans="1:14" ht="24" customHeight="1" x14ac:dyDescent="0.25">
      <c r="A37" s="1476" t="s">
        <v>427</v>
      </c>
      <c r="B37" s="1477"/>
      <c r="C37" s="1477"/>
      <c r="D37" s="1477"/>
      <c r="E37" s="1477"/>
      <c r="F37" s="1477"/>
      <c r="G37" s="1478"/>
      <c r="H37" s="107" t="s">
        <v>66</v>
      </c>
      <c r="I37" s="521"/>
      <c r="J37" s="521"/>
      <c r="K37" s="2"/>
      <c r="L37" s="2"/>
      <c r="M37" s="2"/>
    </row>
    <row r="38" spans="1:14" ht="17.25" customHeight="1" x14ac:dyDescent="0.25">
      <c r="A38" s="1585" t="s">
        <v>132</v>
      </c>
      <c r="B38" s="1586"/>
      <c r="C38" s="1586"/>
      <c r="D38" s="1586"/>
      <c r="E38" s="498"/>
      <c r="F38" s="498"/>
      <c r="G38" s="498"/>
      <c r="H38" s="108">
        <v>2.23</v>
      </c>
      <c r="I38" s="556"/>
      <c r="J38" s="521"/>
      <c r="K38" s="521"/>
      <c r="L38" s="2"/>
      <c r="M38" s="2"/>
      <c r="N38" s="2"/>
    </row>
    <row r="39" spans="1:14" ht="17.100000000000001" customHeight="1" thickBot="1" x14ac:dyDescent="0.3">
      <c r="A39" s="1587" t="s">
        <v>405</v>
      </c>
      <c r="B39" s="1588"/>
      <c r="C39" s="1588"/>
      <c r="D39" s="1588"/>
      <c r="E39" s="499"/>
      <c r="F39" s="499"/>
      <c r="G39" s="499"/>
      <c r="H39" s="109">
        <v>3.79</v>
      </c>
      <c r="I39" s="556"/>
      <c r="J39" s="521"/>
      <c r="K39" s="521"/>
      <c r="L39" s="2"/>
      <c r="M39" s="2"/>
      <c r="N39" s="2"/>
    </row>
    <row r="40" spans="1:14" ht="17.100000000000001" customHeight="1" x14ac:dyDescent="0.25">
      <c r="A40" s="1513" t="s">
        <v>412</v>
      </c>
      <c r="B40" s="1513"/>
      <c r="C40" s="1513"/>
      <c r="D40" s="1513"/>
      <c r="E40" s="500"/>
      <c r="F40" s="500"/>
      <c r="G40" s="43"/>
      <c r="H40" s="13"/>
      <c r="I40" s="13"/>
      <c r="J40" s="13"/>
      <c r="K40" s="13"/>
    </row>
    <row r="41" spans="1:14" ht="18" customHeight="1" thickBot="1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4" ht="26.1" customHeight="1" thickBot="1" x14ac:dyDescent="0.3">
      <c r="A42" s="924" t="s">
        <v>63</v>
      </c>
      <c r="B42" s="925"/>
      <c r="C42" s="925"/>
      <c r="D42" s="925"/>
      <c r="E42" s="925"/>
      <c r="F42" s="925"/>
      <c r="G42" s="925"/>
      <c r="H42" s="978"/>
      <c r="I42" s="13"/>
      <c r="J42" s="13"/>
    </row>
    <row r="43" spans="1:14" ht="24" customHeight="1" thickBot="1" x14ac:dyDescent="0.3">
      <c r="A43" s="1467" t="str">
        <f>A37</f>
        <v>Gældende fra 1. januar 2024</v>
      </c>
      <c r="B43" s="1468"/>
      <c r="C43" s="1468"/>
      <c r="D43" s="1468"/>
      <c r="E43" s="1468"/>
      <c r="F43" s="1468"/>
      <c r="G43" s="1469"/>
      <c r="H43" s="92" t="s">
        <v>66</v>
      </c>
    </row>
    <row r="44" spans="1:14" ht="18.95" customHeight="1" x14ac:dyDescent="0.25">
      <c r="A44" s="1470" t="s">
        <v>64</v>
      </c>
      <c r="B44" s="1471"/>
      <c r="C44" s="1471"/>
      <c r="D44" s="1471"/>
      <c r="E44" s="1471"/>
      <c r="F44" s="1471"/>
      <c r="G44" s="1472"/>
      <c r="H44" s="110">
        <v>940</v>
      </c>
    </row>
    <row r="45" spans="1:14" ht="17.100000000000001" customHeight="1" thickBot="1" x14ac:dyDescent="0.3">
      <c r="A45" s="1473" t="s">
        <v>65</v>
      </c>
      <c r="B45" s="1474"/>
      <c r="C45" s="1474"/>
      <c r="D45" s="1474"/>
      <c r="E45" s="1474"/>
      <c r="F45" s="1474"/>
      <c r="G45" s="1475"/>
      <c r="H45" s="109">
        <v>626</v>
      </c>
      <c r="I45" s="13"/>
      <c r="J45" s="13"/>
      <c r="K45" s="13"/>
    </row>
    <row r="46" spans="1:14" ht="18" customHeight="1" thickBot="1" x14ac:dyDescent="0.3">
      <c r="A46" s="1582"/>
      <c r="B46" s="1582"/>
      <c r="C46" s="1582"/>
      <c r="D46" s="1582"/>
      <c r="E46" s="1582"/>
      <c r="F46" s="1582"/>
      <c r="G46" s="1582"/>
      <c r="H46" s="1582"/>
      <c r="I46" s="13"/>
      <c r="J46" s="13"/>
    </row>
    <row r="47" spans="1:14" ht="26.1" customHeight="1" thickBot="1" x14ac:dyDescent="0.3">
      <c r="A47" s="924" t="s">
        <v>370</v>
      </c>
      <c r="B47" s="925"/>
      <c r="C47" s="925"/>
      <c r="D47" s="925"/>
      <c r="E47" s="925"/>
      <c r="F47" s="925"/>
      <c r="G47" s="925"/>
      <c r="H47" s="978"/>
      <c r="I47" s="13"/>
      <c r="J47" s="13"/>
    </row>
    <row r="48" spans="1:14" ht="24" customHeight="1" thickBot="1" x14ac:dyDescent="0.3">
      <c r="A48" s="1467" t="str">
        <f>A43</f>
        <v>Gældende fra 1. januar 2024</v>
      </c>
      <c r="B48" s="1468"/>
      <c r="C48" s="1468"/>
      <c r="D48" s="1468"/>
      <c r="E48" s="1468"/>
      <c r="F48" s="1468"/>
      <c r="G48" s="1469"/>
      <c r="H48" s="92" t="s">
        <v>66</v>
      </c>
    </row>
    <row r="49" spans="1:16" ht="18.95" customHeight="1" x14ac:dyDescent="0.25">
      <c r="A49" s="1470" t="s">
        <v>369</v>
      </c>
      <c r="B49" s="1471"/>
      <c r="C49" s="1471"/>
      <c r="D49" s="1471"/>
      <c r="E49" s="1471"/>
      <c r="F49" s="1471"/>
      <c r="G49" s="1472"/>
      <c r="H49" s="110">
        <v>940</v>
      </c>
    </row>
    <row r="50" spans="1:16" ht="17.100000000000001" customHeight="1" thickBot="1" x14ac:dyDescent="0.3">
      <c r="A50" s="1473" t="s">
        <v>371</v>
      </c>
      <c r="B50" s="1474"/>
      <c r="C50" s="1474"/>
      <c r="D50" s="1474"/>
      <c r="E50" s="1474"/>
      <c r="F50" s="1474"/>
      <c r="G50" s="1475"/>
      <c r="H50" s="109">
        <v>470</v>
      </c>
    </row>
    <row r="51" spans="1:16" ht="17.100000000000001" customHeight="1" x14ac:dyDescent="0.25">
      <c r="A51" s="734"/>
      <c r="B51" s="734"/>
      <c r="C51" s="734"/>
      <c r="D51" s="734"/>
      <c r="E51" s="734"/>
      <c r="F51" s="734"/>
      <c r="G51" s="734"/>
      <c r="H51" s="734"/>
    </row>
    <row r="52" spans="1:16" ht="12" customHeight="1" thickBot="1" x14ac:dyDescent="0.3">
      <c r="A52" s="734"/>
      <c r="B52" s="734"/>
      <c r="C52" s="734"/>
      <c r="D52" s="734"/>
      <c r="E52" s="734"/>
      <c r="F52" s="734"/>
      <c r="G52" s="734"/>
    </row>
    <row r="53" spans="1:16" ht="21.95" customHeight="1" x14ac:dyDescent="0.25">
      <c r="A53" s="911" t="s">
        <v>372</v>
      </c>
      <c r="B53" s="912"/>
      <c r="C53" s="912"/>
      <c r="D53" s="912"/>
      <c r="E53" s="912"/>
      <c r="F53" s="912"/>
      <c r="G53" s="912"/>
      <c r="H53" s="913"/>
    </row>
    <row r="54" spans="1:16" ht="17.100000000000001" customHeight="1" thickBot="1" x14ac:dyDescent="0.3">
      <c r="A54" s="991" t="s">
        <v>275</v>
      </c>
      <c r="B54" s="992"/>
      <c r="C54" s="992"/>
      <c r="D54" s="992"/>
      <c r="E54" s="992"/>
      <c r="F54" s="992"/>
      <c r="G54" s="992"/>
      <c r="H54" s="993"/>
      <c r="I54" s="13"/>
      <c r="J54" s="13"/>
    </row>
    <row r="55" spans="1:16" ht="17.100000000000001" customHeight="1" x14ac:dyDescent="0.25">
      <c r="A55" s="603"/>
      <c r="B55" s="604"/>
      <c r="C55" s="604"/>
      <c r="D55" s="604"/>
      <c r="E55" s="604"/>
      <c r="F55" s="604"/>
      <c r="G55" s="606" t="s">
        <v>98</v>
      </c>
      <c r="H55" s="605" t="s">
        <v>103</v>
      </c>
      <c r="I55" s="13"/>
      <c r="J55" s="13"/>
      <c r="K55" s="13"/>
    </row>
    <row r="56" spans="1:16" ht="18" customHeight="1" thickBot="1" x14ac:dyDescent="0.3">
      <c r="A56" s="601"/>
      <c r="B56" s="602"/>
      <c r="C56" s="602"/>
      <c r="D56" s="602"/>
      <c r="E56" s="602"/>
      <c r="F56" s="602"/>
      <c r="G56" s="525">
        <v>40999</v>
      </c>
      <c r="H56" s="541" t="str">
        <f>'Løntabel gældende fra'!$D$1</f>
        <v>01/04/24</v>
      </c>
      <c r="I56" s="560"/>
      <c r="J56" s="560"/>
      <c r="K56" s="560"/>
    </row>
    <row r="57" spans="1:16" ht="17.100000000000001" customHeight="1" x14ac:dyDescent="0.25">
      <c r="A57" s="1633" t="s">
        <v>192</v>
      </c>
      <c r="B57" s="1634"/>
      <c r="C57" s="1634"/>
      <c r="D57" s="1634"/>
      <c r="E57" s="1634"/>
      <c r="F57" s="779" t="s">
        <v>165</v>
      </c>
      <c r="G57" s="160">
        <v>22.32</v>
      </c>
      <c r="H57" s="780">
        <f>G57+G57*'Løntabel gældende fra'!$D$7%</f>
        <v>27.41045544</v>
      </c>
      <c r="I57" s="560"/>
      <c r="J57" s="560"/>
      <c r="K57" s="560"/>
    </row>
    <row r="58" spans="1:16" ht="17.100000000000001" customHeight="1" x14ac:dyDescent="0.25">
      <c r="A58" s="1621" t="s">
        <v>391</v>
      </c>
      <c r="B58" s="1622"/>
      <c r="C58" s="1622"/>
      <c r="D58" s="1622"/>
      <c r="E58" s="1622"/>
      <c r="F58" s="1625" t="s">
        <v>165</v>
      </c>
      <c r="G58" s="1627">
        <v>39.92</v>
      </c>
      <c r="H58" s="1629">
        <f>G58+G58*'Løntabel gældende fra'!$D$7%</f>
        <v>49.024434640000003</v>
      </c>
      <c r="I58" s="1497"/>
      <c r="J58" s="1498"/>
      <c r="K58" s="1498"/>
      <c r="L58" s="1498"/>
      <c r="M58" s="1498"/>
      <c r="N58" s="1498"/>
      <c r="O58" s="1498"/>
      <c r="P58" s="1498"/>
    </row>
    <row r="59" spans="1:16" ht="45" customHeight="1" x14ac:dyDescent="0.25">
      <c r="A59" s="1623"/>
      <c r="B59" s="1624"/>
      <c r="C59" s="1624"/>
      <c r="D59" s="1624"/>
      <c r="E59" s="1624"/>
      <c r="F59" s="1626"/>
      <c r="G59" s="1628"/>
      <c r="H59" s="1630"/>
      <c r="I59" s="1497"/>
      <c r="J59" s="1498"/>
      <c r="K59" s="1498"/>
      <c r="L59" s="1498"/>
      <c r="M59" s="1498"/>
      <c r="N59" s="1498"/>
      <c r="O59" s="1498"/>
      <c r="P59" s="1498"/>
    </row>
    <row r="60" spans="1:16" ht="17.100000000000001" customHeight="1" x14ac:dyDescent="0.25">
      <c r="A60" s="1631" t="s">
        <v>205</v>
      </c>
      <c r="B60" s="1632"/>
      <c r="C60" s="1632"/>
      <c r="D60" s="1632"/>
      <c r="E60" s="1632"/>
      <c r="F60" s="778" t="s">
        <v>165</v>
      </c>
      <c r="G60" s="181">
        <v>39.92</v>
      </c>
      <c r="H60" s="742">
        <f>G60+G60*'Løntabel gældende fra'!$D$7%</f>
        <v>49.024434640000003</v>
      </c>
      <c r="I60" s="1497"/>
      <c r="J60" s="1498"/>
      <c r="K60" s="1498"/>
      <c r="L60" s="1498"/>
      <c r="M60" s="1498"/>
      <c r="N60" s="1498"/>
      <c r="O60" s="1498"/>
      <c r="P60" s="1498"/>
    </row>
    <row r="61" spans="1:16" ht="17.100000000000001" customHeight="1" x14ac:dyDescent="0.25">
      <c r="A61" s="1617" t="s">
        <v>164</v>
      </c>
      <c r="B61" s="1618"/>
      <c r="C61" s="1618"/>
      <c r="D61" s="1618"/>
      <c r="E61" s="1618"/>
      <c r="F61" s="744" t="s">
        <v>165</v>
      </c>
      <c r="G61" s="181">
        <v>39.92</v>
      </c>
      <c r="H61" s="742">
        <f>G61+G61*'Løntabel gældende fra'!$D$7%</f>
        <v>49.024434640000003</v>
      </c>
      <c r="I61" s="1497"/>
      <c r="J61" s="1498"/>
      <c r="K61" s="1498"/>
      <c r="L61" s="1498"/>
      <c r="M61" s="1498"/>
      <c r="N61" s="1498"/>
      <c r="O61" s="1498"/>
      <c r="P61" s="1498"/>
    </row>
    <row r="62" spans="1:16" ht="17.100000000000001" customHeight="1" x14ac:dyDescent="0.25">
      <c r="A62" s="1617" t="s">
        <v>390</v>
      </c>
      <c r="B62" s="1618"/>
      <c r="C62" s="1618"/>
      <c r="D62" s="1618"/>
      <c r="E62" s="1618"/>
      <c r="F62" s="744" t="s">
        <v>165</v>
      </c>
      <c r="G62" s="181">
        <v>6.59</v>
      </c>
      <c r="H62" s="742">
        <f>G62+G62*'Løntabel gældende fra'!$D$7%</f>
        <v>8.0929615300000002</v>
      </c>
      <c r="I62" s="1497"/>
      <c r="J62" s="1498"/>
      <c r="K62" s="1498"/>
      <c r="L62" s="1498"/>
      <c r="M62" s="1498"/>
      <c r="N62" s="1498"/>
      <c r="O62" s="1498"/>
      <c r="P62" s="1498"/>
    </row>
    <row r="63" spans="1:16" ht="17.100000000000001" customHeight="1" thickBot="1" x14ac:dyDescent="0.3">
      <c r="A63" s="1619" t="s">
        <v>322</v>
      </c>
      <c r="B63" s="1620"/>
      <c r="C63" s="1620"/>
      <c r="D63" s="1620"/>
      <c r="E63" s="1620"/>
      <c r="F63" s="745" t="s">
        <v>166</v>
      </c>
      <c r="G63" s="161">
        <v>61.22</v>
      </c>
      <c r="H63" s="743">
        <f>G63+G63*'Løntabel gældende fra'!$D$7%</f>
        <v>75.182261740000001</v>
      </c>
      <c r="I63" s="1497"/>
      <c r="J63" s="1498"/>
      <c r="K63" s="1498"/>
      <c r="L63" s="1498"/>
      <c r="M63" s="1498"/>
      <c r="N63" s="1498"/>
      <c r="O63" s="1498"/>
      <c r="P63" s="1498"/>
    </row>
    <row r="64" spans="1:16" ht="17.100000000000001" customHeight="1" thickBot="1" x14ac:dyDescent="0.3">
      <c r="A64" s="13"/>
      <c r="B64" s="13"/>
      <c r="C64" s="13"/>
      <c r="D64" s="13"/>
      <c r="E64" s="13"/>
      <c r="F64" s="13"/>
      <c r="G64" s="13"/>
      <c r="H64" s="13"/>
      <c r="I64" s="1497"/>
      <c r="J64" s="1498"/>
      <c r="K64" s="1498"/>
      <c r="L64" s="1498"/>
      <c r="M64" s="1498"/>
      <c r="N64" s="1498"/>
      <c r="O64" s="1498"/>
      <c r="P64" s="1498"/>
    </row>
    <row r="65" spans="1:16" ht="17.100000000000001" customHeight="1" x14ac:dyDescent="0.25">
      <c r="A65" s="1064" t="s">
        <v>188</v>
      </c>
      <c r="B65" s="1065"/>
      <c r="C65" s="1065"/>
      <c r="D65" s="1065"/>
      <c r="E65" s="1065"/>
      <c r="F65" s="1065"/>
      <c r="G65" s="1065"/>
      <c r="H65" s="1066"/>
      <c r="I65" s="1497"/>
      <c r="J65" s="1498"/>
      <c r="K65" s="1498"/>
      <c r="L65" s="1498"/>
      <c r="M65" s="1498"/>
      <c r="N65" s="1498"/>
      <c r="O65" s="1498"/>
      <c r="P65" s="1498"/>
    </row>
    <row r="66" spans="1:16" ht="17.100000000000001" customHeight="1" thickBot="1" x14ac:dyDescent="0.3">
      <c r="A66" s="1514" t="s">
        <v>289</v>
      </c>
      <c r="B66" s="1515"/>
      <c r="C66" s="1515"/>
      <c r="D66" s="1515"/>
      <c r="E66" s="1515"/>
      <c r="F66" s="1515"/>
      <c r="G66" s="1515"/>
      <c r="H66" s="1516"/>
      <c r="I66" s="1497"/>
      <c r="J66" s="1498"/>
      <c r="K66" s="1498"/>
      <c r="L66" s="1498"/>
      <c r="M66" s="1498"/>
      <c r="N66" s="1498"/>
      <c r="O66" s="1498"/>
      <c r="P66" s="1498"/>
    </row>
    <row r="67" spans="1:16" ht="17.100000000000001" customHeight="1" x14ac:dyDescent="0.25">
      <c r="A67" s="1576" t="s">
        <v>27</v>
      </c>
      <c r="B67" s="1577"/>
      <c r="C67" s="1577"/>
      <c r="D67" s="1578"/>
      <c r="E67" s="1576" t="s">
        <v>28</v>
      </c>
      <c r="F67" s="1577"/>
      <c r="G67" s="1577"/>
      <c r="H67" s="1578"/>
      <c r="I67" s="1497"/>
      <c r="J67" s="1498"/>
      <c r="K67" s="1498"/>
      <c r="L67" s="1498"/>
      <c r="M67" s="1498"/>
      <c r="N67" s="1498"/>
      <c r="O67" s="1498"/>
      <c r="P67" s="1498"/>
    </row>
    <row r="68" spans="1:16" ht="17.100000000000001" customHeight="1" x14ac:dyDescent="0.25">
      <c r="A68" s="1579">
        <v>40999</v>
      </c>
      <c r="B68" s="1580"/>
      <c r="C68" s="1580"/>
      <c r="D68" s="1581"/>
      <c r="E68" s="1592">
        <v>0</v>
      </c>
      <c r="F68" s="1593"/>
      <c r="G68" s="1593"/>
      <c r="H68" s="1594"/>
      <c r="I68" s="1497"/>
      <c r="J68" s="1498"/>
      <c r="K68" s="1498"/>
      <c r="L68" s="1498"/>
      <c r="M68" s="1498"/>
      <c r="N68" s="1498"/>
      <c r="O68" s="1498"/>
      <c r="P68" s="1498"/>
    </row>
    <row r="69" spans="1:16" ht="17.100000000000001" customHeight="1" x14ac:dyDescent="0.25">
      <c r="A69" s="1579">
        <v>41000</v>
      </c>
      <c r="B69" s="1580"/>
      <c r="C69" s="1580"/>
      <c r="D69" s="1581"/>
      <c r="E69" s="1592">
        <v>1.304</v>
      </c>
      <c r="F69" s="1593"/>
      <c r="G69" s="1593"/>
      <c r="H69" s="1594"/>
      <c r="I69" s="614"/>
      <c r="J69" s="614"/>
    </row>
    <row r="70" spans="1:16" ht="17.100000000000001" customHeight="1" x14ac:dyDescent="0.25">
      <c r="A70" s="1579">
        <v>41365</v>
      </c>
      <c r="B70" s="1580"/>
      <c r="C70" s="1580"/>
      <c r="D70" s="1581"/>
      <c r="E70" s="1592">
        <v>1.304</v>
      </c>
      <c r="F70" s="1593"/>
      <c r="G70" s="1593"/>
      <c r="H70" s="1594"/>
      <c r="I70" s="17"/>
      <c r="J70" s="17"/>
    </row>
    <row r="71" spans="1:16" ht="17.100000000000001" customHeight="1" x14ac:dyDescent="0.25">
      <c r="A71" s="1579">
        <v>41730</v>
      </c>
      <c r="B71" s="1580"/>
      <c r="C71" s="1580"/>
      <c r="D71" s="1581"/>
      <c r="E71" s="1592">
        <v>1.7161999999999999</v>
      </c>
      <c r="F71" s="1593"/>
      <c r="G71" s="1593"/>
      <c r="H71" s="1594"/>
      <c r="I71" s="619"/>
      <c r="J71" s="619"/>
    </row>
    <row r="72" spans="1:16" ht="17.100000000000001" customHeight="1" x14ac:dyDescent="0.25">
      <c r="A72" s="1613">
        <v>42095</v>
      </c>
      <c r="B72" s="1614"/>
      <c r="C72" s="1614"/>
      <c r="D72" s="1615"/>
      <c r="E72" s="1592">
        <v>2.1745000000000001</v>
      </c>
      <c r="F72" s="1593"/>
      <c r="G72" s="1593"/>
      <c r="H72" s="1594"/>
      <c r="I72" s="620"/>
      <c r="J72" s="620"/>
    </row>
    <row r="73" spans="1:16" ht="17.100000000000001" customHeight="1" x14ac:dyDescent="0.25">
      <c r="A73" s="1579">
        <v>42461</v>
      </c>
      <c r="B73" s="1580"/>
      <c r="C73" s="1580"/>
      <c r="D73" s="1581"/>
      <c r="E73" s="1592">
        <v>2.9882</v>
      </c>
      <c r="F73" s="1593"/>
      <c r="G73" s="1593"/>
      <c r="H73" s="1594"/>
      <c r="I73" s="620"/>
      <c r="J73" s="620"/>
    </row>
    <row r="74" spans="1:16" ht="17.100000000000001" customHeight="1" x14ac:dyDescent="0.25">
      <c r="A74" s="1595">
        <v>42826</v>
      </c>
      <c r="B74" s="1596"/>
      <c r="C74" s="1596"/>
      <c r="D74" s="1597"/>
      <c r="E74" s="1592">
        <v>4.2446000000000002</v>
      </c>
      <c r="F74" s="1593"/>
      <c r="G74" s="1593"/>
      <c r="H74" s="1594"/>
      <c r="I74" s="620"/>
      <c r="J74" s="620"/>
    </row>
    <row r="75" spans="1:16" ht="17.100000000000001" customHeight="1" x14ac:dyDescent="0.25">
      <c r="A75" s="1579">
        <v>43070</v>
      </c>
      <c r="B75" s="1580"/>
      <c r="C75" s="1580"/>
      <c r="D75" s="1581"/>
      <c r="E75" s="1592">
        <v>5.7702999999999998</v>
      </c>
      <c r="F75" s="1593"/>
      <c r="G75" s="1593"/>
      <c r="H75" s="1594"/>
      <c r="I75" s="620"/>
      <c r="J75" s="620"/>
    </row>
    <row r="76" spans="1:16" ht="17.100000000000001" customHeight="1" x14ac:dyDescent="0.25">
      <c r="A76" s="1579">
        <v>43191</v>
      </c>
      <c r="B76" s="1580"/>
      <c r="C76" s="1580"/>
      <c r="D76" s="1581"/>
      <c r="E76" s="1592">
        <v>6.9683000000000002</v>
      </c>
      <c r="F76" s="1593"/>
      <c r="G76" s="1593"/>
      <c r="H76" s="1594"/>
      <c r="I76" s="620"/>
      <c r="J76" s="620"/>
    </row>
    <row r="77" spans="1:16" ht="17.100000000000001" customHeight="1" x14ac:dyDescent="0.25">
      <c r="A77" s="1579">
        <v>43374</v>
      </c>
      <c r="B77" s="1580"/>
      <c r="C77" s="1580"/>
      <c r="D77" s="1581"/>
      <c r="E77" s="1592">
        <v>7.4972000000000003</v>
      </c>
      <c r="F77" s="1593"/>
      <c r="G77" s="1593"/>
      <c r="H77" s="1594"/>
      <c r="I77" s="621"/>
      <c r="J77" s="621"/>
    </row>
    <row r="78" spans="1:16" ht="17.100000000000001" customHeight="1" x14ac:dyDescent="0.25">
      <c r="A78" s="1579">
        <v>43556</v>
      </c>
      <c r="B78" s="1580"/>
      <c r="C78" s="1580"/>
      <c r="D78" s="1581"/>
      <c r="E78" s="1592">
        <v>8.4910999999999994</v>
      </c>
      <c r="F78" s="1593"/>
      <c r="G78" s="1593"/>
      <c r="H78" s="1594"/>
      <c r="I78" s="619"/>
      <c r="J78" s="619"/>
    </row>
    <row r="79" spans="1:16" ht="17.100000000000001" customHeight="1" x14ac:dyDescent="0.25">
      <c r="A79" s="1598">
        <v>43739</v>
      </c>
      <c r="B79" s="1599"/>
      <c r="C79" s="1599"/>
      <c r="D79" s="1600"/>
      <c r="E79" s="1601">
        <v>9.4007000000000005</v>
      </c>
      <c r="F79" s="1602"/>
      <c r="G79" s="1602"/>
      <c r="H79" s="1603"/>
      <c r="I79" s="619"/>
      <c r="J79" s="619"/>
    </row>
    <row r="80" spans="1:16" ht="17.100000000000001" customHeight="1" x14ac:dyDescent="0.25">
      <c r="A80" s="1579">
        <v>43922</v>
      </c>
      <c r="B80" s="1580"/>
      <c r="C80" s="1580"/>
      <c r="D80" s="1581"/>
      <c r="E80" s="1592">
        <v>10.323600000000001</v>
      </c>
      <c r="F80" s="1593"/>
      <c r="G80" s="1593"/>
      <c r="H80" s="1594"/>
      <c r="I80" s="619"/>
      <c r="J80" s="619"/>
    </row>
    <row r="81" spans="1:10" ht="17.100000000000001" customHeight="1" x14ac:dyDescent="0.25">
      <c r="A81" s="1604">
        <v>44228</v>
      </c>
      <c r="B81" s="1604"/>
      <c r="C81" s="1604"/>
      <c r="D81" s="1604"/>
      <c r="E81" s="1605">
        <v>10.2211</v>
      </c>
      <c r="F81" s="1606"/>
      <c r="G81" s="1606"/>
      <c r="H81" s="1606"/>
      <c r="I81" s="619"/>
      <c r="J81" s="619"/>
    </row>
    <row r="82" spans="1:10" ht="17.100000000000001" customHeight="1" x14ac:dyDescent="0.25">
      <c r="A82" s="1604">
        <v>44287</v>
      </c>
      <c r="B82" s="1604"/>
      <c r="C82" s="1604"/>
      <c r="D82" s="1604"/>
      <c r="E82" s="1605">
        <v>11.1029</v>
      </c>
      <c r="F82" s="1606"/>
      <c r="G82" s="1606"/>
      <c r="H82" s="1606"/>
      <c r="I82" s="619"/>
      <c r="J82" s="619"/>
    </row>
    <row r="83" spans="1:10" ht="17.100000000000001" customHeight="1" x14ac:dyDescent="0.25">
      <c r="A83" s="1604">
        <v>44470</v>
      </c>
      <c r="B83" s="1604"/>
      <c r="C83" s="1604"/>
      <c r="D83" s="1604"/>
      <c r="E83" s="1607">
        <v>11.4336</v>
      </c>
      <c r="F83" s="1608"/>
      <c r="G83" s="1608"/>
      <c r="H83" s="1609"/>
      <c r="I83" s="619"/>
      <c r="J83" s="619"/>
    </row>
    <row r="84" spans="1:10" ht="17.100000000000001" customHeight="1" x14ac:dyDescent="0.25">
      <c r="A84" s="1604">
        <v>44652</v>
      </c>
      <c r="B84" s="1604"/>
      <c r="C84" s="1604"/>
      <c r="D84" s="1604"/>
      <c r="E84" s="1607">
        <v>13.410399999999999</v>
      </c>
      <c r="F84" s="1608"/>
      <c r="G84" s="1608"/>
      <c r="H84" s="1609"/>
      <c r="I84" s="619"/>
      <c r="J84" s="619"/>
    </row>
    <row r="85" spans="1:10" ht="17.100000000000001" customHeight="1" x14ac:dyDescent="0.25">
      <c r="A85" s="1604">
        <v>44835</v>
      </c>
      <c r="B85" s="1604"/>
      <c r="C85" s="1604"/>
      <c r="D85" s="1604"/>
      <c r="E85" s="1607">
        <v>13.741099999999999</v>
      </c>
      <c r="F85" s="1608"/>
      <c r="G85" s="1608"/>
      <c r="H85" s="1609"/>
      <c r="I85" s="619"/>
      <c r="J85" s="619"/>
    </row>
    <row r="86" spans="1:10" ht="17.100000000000001" customHeight="1" x14ac:dyDescent="0.25">
      <c r="A86" s="1579">
        <v>45017</v>
      </c>
      <c r="B86" s="1580"/>
      <c r="C86" s="1580"/>
      <c r="D86" s="1581"/>
      <c r="E86" s="1607">
        <v>15.533899999999999</v>
      </c>
      <c r="F86" s="1608"/>
      <c r="G86" s="1608"/>
      <c r="H86" s="1609"/>
      <c r="I86" s="619"/>
      <c r="J86" s="619"/>
    </row>
    <row r="87" spans="1:10" ht="17.100000000000001" customHeight="1" x14ac:dyDescent="0.25">
      <c r="A87" s="1604">
        <v>45200</v>
      </c>
      <c r="B87" s="1604"/>
      <c r="C87" s="1604"/>
      <c r="D87" s="1604"/>
      <c r="E87" s="1607">
        <v>15.919700000000001</v>
      </c>
      <c r="F87" s="1608"/>
      <c r="G87" s="1608"/>
      <c r="H87" s="1609"/>
      <c r="I87" s="619"/>
      <c r="J87" s="619"/>
    </row>
    <row r="88" spans="1:10" ht="17.100000000000001" customHeight="1" thickBot="1" x14ac:dyDescent="0.3">
      <c r="A88" s="1616">
        <v>45383</v>
      </c>
      <c r="B88" s="1616"/>
      <c r="C88" s="1616"/>
      <c r="D88" s="1616"/>
      <c r="E88" s="1589">
        <v>22.806699999999999</v>
      </c>
      <c r="F88" s="1590"/>
      <c r="G88" s="1590"/>
      <c r="H88" s="1591"/>
      <c r="I88" s="620"/>
      <c r="J88" s="620"/>
    </row>
    <row r="89" spans="1:10" ht="25.5" customHeight="1" thickBot="1" x14ac:dyDescent="0.3">
      <c r="A89" s="613"/>
      <c r="B89" s="613"/>
      <c r="C89" s="613"/>
      <c r="D89" s="613"/>
      <c r="E89" s="613"/>
      <c r="F89" s="613"/>
      <c r="G89" s="613"/>
      <c r="H89" s="613"/>
      <c r="I89" s="620"/>
      <c r="J89" s="620"/>
    </row>
    <row r="90" spans="1:10" ht="18.75" thickBot="1" x14ac:dyDescent="0.3">
      <c r="A90" s="1610" t="s">
        <v>74</v>
      </c>
      <c r="B90" s="1611"/>
      <c r="C90" s="1611"/>
      <c r="D90" s="1611"/>
      <c r="E90" s="1611"/>
      <c r="F90" s="1611"/>
      <c r="G90" s="1611"/>
      <c r="H90" s="1612"/>
      <c r="I90" s="13"/>
      <c r="J90" s="13"/>
    </row>
    <row r="91" spans="1:10" ht="15.75" thickBot="1" x14ac:dyDescent="0.3">
      <c r="A91" s="1553" t="s">
        <v>75</v>
      </c>
      <c r="B91" s="1554"/>
      <c r="C91" s="1554"/>
      <c r="D91" s="1554"/>
      <c r="E91" s="1554"/>
      <c r="F91" s="1554"/>
      <c r="G91" s="1554"/>
      <c r="H91" s="1555"/>
      <c r="I91" s="619"/>
      <c r="J91" s="619"/>
    </row>
    <row r="92" spans="1:10" x14ac:dyDescent="0.25">
      <c r="A92" s="1559" t="s">
        <v>206</v>
      </c>
      <c r="B92" s="1560"/>
      <c r="C92" s="1560"/>
      <c r="D92" s="1560"/>
      <c r="E92" s="1560"/>
      <c r="F92" s="1560"/>
      <c r="G92" s="1560"/>
      <c r="H92" s="1561"/>
    </row>
    <row r="93" spans="1:10" x14ac:dyDescent="0.25">
      <c r="A93" s="1562"/>
      <c r="B93" s="1563"/>
      <c r="C93" s="1563"/>
      <c r="D93" s="1563"/>
      <c r="E93" s="1563"/>
      <c r="F93" s="1563"/>
      <c r="G93" s="1563"/>
      <c r="H93" s="1564"/>
      <c r="I93" s="13"/>
      <c r="J93" s="13"/>
    </row>
    <row r="94" spans="1:10" x14ac:dyDescent="0.25">
      <c r="A94" s="1562"/>
      <c r="B94" s="1563"/>
      <c r="C94" s="1563"/>
      <c r="D94" s="1563"/>
      <c r="E94" s="1563"/>
      <c r="F94" s="1563"/>
      <c r="G94" s="1563"/>
      <c r="H94" s="1564"/>
      <c r="I94" s="619"/>
      <c r="J94" s="619"/>
    </row>
    <row r="95" spans="1:10" ht="31.5" customHeight="1" x14ac:dyDescent="0.25">
      <c r="A95" s="1562"/>
      <c r="B95" s="1563"/>
      <c r="C95" s="1563"/>
      <c r="D95" s="1563"/>
      <c r="E95" s="1563"/>
      <c r="F95" s="1563"/>
      <c r="G95" s="1563"/>
      <c r="H95" s="1564"/>
    </row>
    <row r="96" spans="1:10" ht="6" customHeight="1" thickBot="1" x14ac:dyDescent="0.3">
      <c r="A96" s="1565"/>
      <c r="B96" s="1566"/>
      <c r="C96" s="1566"/>
      <c r="D96" s="1566"/>
      <c r="E96" s="1566"/>
      <c r="F96" s="1566"/>
      <c r="G96" s="1566"/>
      <c r="H96" s="1567"/>
    </row>
    <row r="97" spans="1:10" ht="15.75" thickBot="1" x14ac:dyDescent="0.3">
      <c r="A97" s="615"/>
      <c r="B97" s="615"/>
      <c r="C97" s="615"/>
      <c r="D97" s="615"/>
      <c r="E97" s="615"/>
      <c r="F97" s="615"/>
      <c r="G97" s="615"/>
      <c r="H97" s="615"/>
      <c r="I97" s="619"/>
      <c r="J97" s="619"/>
    </row>
    <row r="98" spans="1:10" ht="20.100000000000001" customHeight="1" thickBot="1" x14ac:dyDescent="0.3">
      <c r="A98" s="1553" t="s">
        <v>76</v>
      </c>
      <c r="B98" s="1554"/>
      <c r="C98" s="1554"/>
      <c r="D98" s="1554"/>
      <c r="E98" s="1554"/>
      <c r="F98" s="1554"/>
      <c r="G98" s="1554"/>
      <c r="H98" s="1555"/>
      <c r="I98" s="620"/>
      <c r="J98" s="620"/>
    </row>
    <row r="99" spans="1:10" x14ac:dyDescent="0.25">
      <c r="A99" s="1559" t="s">
        <v>137</v>
      </c>
      <c r="B99" s="1560"/>
      <c r="C99" s="1560"/>
      <c r="D99" s="1560"/>
      <c r="E99" s="1560"/>
      <c r="F99" s="1560"/>
      <c r="G99" s="1560"/>
      <c r="H99" s="1561"/>
      <c r="I99" s="620"/>
      <c r="J99" s="620"/>
    </row>
    <row r="100" spans="1:10" ht="21.95" customHeight="1" thickBot="1" x14ac:dyDescent="0.3">
      <c r="A100" s="1565"/>
      <c r="B100" s="1566"/>
      <c r="C100" s="1566"/>
      <c r="D100" s="1566"/>
      <c r="E100" s="1566"/>
      <c r="F100" s="1566"/>
      <c r="G100" s="1566"/>
      <c r="H100" s="1567"/>
      <c r="I100" s="620"/>
      <c r="J100" s="620"/>
    </row>
    <row r="101" spans="1:10" ht="15.75" thickBot="1" x14ac:dyDescent="0.3">
      <c r="A101" s="616"/>
      <c r="B101" s="616"/>
      <c r="C101" s="616"/>
      <c r="D101" s="616"/>
      <c r="E101" s="616"/>
      <c r="F101" s="616"/>
      <c r="G101" s="616"/>
      <c r="H101" s="616"/>
    </row>
    <row r="102" spans="1:10" ht="15.75" thickBot="1" x14ac:dyDescent="0.3">
      <c r="A102" s="1553" t="s">
        <v>77</v>
      </c>
      <c r="B102" s="1554"/>
      <c r="C102" s="1554"/>
      <c r="D102" s="1554"/>
      <c r="E102" s="1554"/>
      <c r="F102" s="1554"/>
      <c r="G102" s="1554"/>
      <c r="H102" s="1555"/>
    </row>
    <row r="103" spans="1:10" ht="15.75" thickBot="1" x14ac:dyDescent="0.3">
      <c r="A103" s="268" t="s">
        <v>80</v>
      </c>
      <c r="B103" s="267"/>
      <c r="C103" s="267"/>
      <c r="D103" s="267"/>
      <c r="E103" s="267"/>
      <c r="F103" s="267"/>
      <c r="G103" s="267"/>
      <c r="H103" s="269"/>
    </row>
    <row r="104" spans="1:10" ht="15.75" thickBot="1" x14ac:dyDescent="0.3">
      <c r="A104" s="616"/>
      <c r="B104" s="616"/>
      <c r="C104" s="616"/>
      <c r="D104" s="616"/>
      <c r="E104" s="616"/>
      <c r="F104" s="616"/>
      <c r="G104" s="616"/>
      <c r="H104" s="616"/>
    </row>
    <row r="105" spans="1:10" ht="15.75" thickBot="1" x14ac:dyDescent="0.3">
      <c r="A105" s="1553" t="s">
        <v>78</v>
      </c>
      <c r="B105" s="1554"/>
      <c r="C105" s="1554"/>
      <c r="D105" s="1554"/>
      <c r="E105" s="1554"/>
      <c r="F105" s="1554"/>
      <c r="G105" s="1554"/>
      <c r="H105" s="1555"/>
    </row>
    <row r="106" spans="1:10" ht="15.75" thickBot="1" x14ac:dyDescent="0.3">
      <c r="A106" s="1556" t="s">
        <v>81</v>
      </c>
      <c r="B106" s="1557"/>
      <c r="C106" s="1557"/>
      <c r="D106" s="1557"/>
      <c r="E106" s="1557"/>
      <c r="F106" s="1557"/>
      <c r="G106" s="1557"/>
      <c r="H106" s="1558"/>
    </row>
    <row r="107" spans="1:10" ht="15.75" thickBot="1" x14ac:dyDescent="0.3"/>
    <row r="108" spans="1:10" ht="15.75" thickBot="1" x14ac:dyDescent="0.3">
      <c r="A108" s="1553" t="s">
        <v>79</v>
      </c>
      <c r="B108" s="1554"/>
      <c r="C108" s="1554"/>
      <c r="D108" s="1554"/>
      <c r="E108" s="1554"/>
      <c r="F108" s="1554"/>
      <c r="G108" s="1554"/>
      <c r="H108" s="1555"/>
    </row>
    <row r="109" spans="1:10" x14ac:dyDescent="0.25">
      <c r="A109" s="1559" t="s">
        <v>308</v>
      </c>
      <c r="B109" s="1560"/>
      <c r="C109" s="1560"/>
      <c r="D109" s="1560"/>
      <c r="E109" s="1560"/>
      <c r="F109" s="1560"/>
      <c r="G109" s="1560"/>
      <c r="H109" s="1561"/>
    </row>
    <row r="110" spans="1:10" x14ac:dyDescent="0.25">
      <c r="A110" s="1562"/>
      <c r="B110" s="1563"/>
      <c r="C110" s="1563"/>
      <c r="D110" s="1563"/>
      <c r="E110" s="1563"/>
      <c r="F110" s="1563"/>
      <c r="G110" s="1563"/>
      <c r="H110" s="1564"/>
    </row>
    <row r="111" spans="1:10" ht="15.75" thickBot="1" x14ac:dyDescent="0.3">
      <c r="A111" s="1565"/>
      <c r="B111" s="1566"/>
      <c r="C111" s="1566"/>
      <c r="D111" s="1566"/>
      <c r="E111" s="1566"/>
      <c r="F111" s="1566"/>
      <c r="G111" s="1566"/>
      <c r="H111" s="1567"/>
    </row>
  </sheetData>
  <sheetProtection sheet="1" objects="1" scenarios="1"/>
  <mergeCells count="138">
    <mergeCell ref="A62:E62"/>
    <mergeCell ref="A63:E63"/>
    <mergeCell ref="A53:H53"/>
    <mergeCell ref="A54:H54"/>
    <mergeCell ref="A58:E59"/>
    <mergeCell ref="F58:F59"/>
    <mergeCell ref="G58:G59"/>
    <mergeCell ref="H58:H59"/>
    <mergeCell ref="A60:E60"/>
    <mergeCell ref="A61:E61"/>
    <mergeCell ref="A57:E57"/>
    <mergeCell ref="A102:H102"/>
    <mergeCell ref="A92:H96"/>
    <mergeCell ref="A90:H90"/>
    <mergeCell ref="A91:H91"/>
    <mergeCell ref="A98:H98"/>
    <mergeCell ref="A99:H100"/>
    <mergeCell ref="A76:D76"/>
    <mergeCell ref="E76:H76"/>
    <mergeCell ref="A70:D70"/>
    <mergeCell ref="A71:D71"/>
    <mergeCell ref="A72:D72"/>
    <mergeCell ref="A88:D88"/>
    <mergeCell ref="A77:D77"/>
    <mergeCell ref="E77:H77"/>
    <mergeCell ref="A78:D78"/>
    <mergeCell ref="E78:H78"/>
    <mergeCell ref="A80:D80"/>
    <mergeCell ref="E80:H80"/>
    <mergeCell ref="A83:D83"/>
    <mergeCell ref="E83:H83"/>
    <mergeCell ref="A84:D84"/>
    <mergeCell ref="E84:H84"/>
    <mergeCell ref="A85:D85"/>
    <mergeCell ref="E85:H85"/>
    <mergeCell ref="E67:H67"/>
    <mergeCell ref="E88:H88"/>
    <mergeCell ref="A73:D73"/>
    <mergeCell ref="E73:H73"/>
    <mergeCell ref="A74:D74"/>
    <mergeCell ref="E74:H74"/>
    <mergeCell ref="E68:H68"/>
    <mergeCell ref="E69:H69"/>
    <mergeCell ref="E70:H70"/>
    <mergeCell ref="E71:H71"/>
    <mergeCell ref="E72:H72"/>
    <mergeCell ref="A75:D75"/>
    <mergeCell ref="E75:H75"/>
    <mergeCell ref="A79:D79"/>
    <mergeCell ref="E79:H79"/>
    <mergeCell ref="A81:D81"/>
    <mergeCell ref="E81:H81"/>
    <mergeCell ref="A82:D82"/>
    <mergeCell ref="E82:H82"/>
    <mergeCell ref="A86:D86"/>
    <mergeCell ref="E86:H86"/>
    <mergeCell ref="A87:D87"/>
    <mergeCell ref="E87:H87"/>
    <mergeCell ref="A105:H105"/>
    <mergeCell ref="A108:H108"/>
    <mergeCell ref="A106:H106"/>
    <mergeCell ref="A109:H111"/>
    <mergeCell ref="I25:J25"/>
    <mergeCell ref="A30:C30"/>
    <mergeCell ref="A29:C29"/>
    <mergeCell ref="E27:F27"/>
    <mergeCell ref="G27:H27"/>
    <mergeCell ref="A27:D28"/>
    <mergeCell ref="A33:C33"/>
    <mergeCell ref="A32:C32"/>
    <mergeCell ref="A31:C31"/>
    <mergeCell ref="A67:D67"/>
    <mergeCell ref="A68:D68"/>
    <mergeCell ref="A69:D69"/>
    <mergeCell ref="A46:H46"/>
    <mergeCell ref="A42:H42"/>
    <mergeCell ref="A43:G43"/>
    <mergeCell ref="A44:G44"/>
    <mergeCell ref="A45:G45"/>
    <mergeCell ref="A34:C34"/>
    <mergeCell ref="A38:D38"/>
    <mergeCell ref="A39:D39"/>
    <mergeCell ref="I24:J24"/>
    <mergeCell ref="A20:A21"/>
    <mergeCell ref="I21:J22"/>
    <mergeCell ref="E22:H22"/>
    <mergeCell ref="I23:J23"/>
    <mergeCell ref="B21:D21"/>
    <mergeCell ref="E23:H23"/>
    <mergeCell ref="B22:D22"/>
    <mergeCell ref="B23:D23"/>
    <mergeCell ref="E24:H24"/>
    <mergeCell ref="B24:D24"/>
    <mergeCell ref="I58:P68"/>
    <mergeCell ref="A2:J2"/>
    <mergeCell ref="I1:J1"/>
    <mergeCell ref="I3:J9"/>
    <mergeCell ref="A10:H10"/>
    <mergeCell ref="A11:J11"/>
    <mergeCell ref="I10:J10"/>
    <mergeCell ref="D5:E6"/>
    <mergeCell ref="D7:E7"/>
    <mergeCell ref="D8:E8"/>
    <mergeCell ref="D9:E9"/>
    <mergeCell ref="B4:H4"/>
    <mergeCell ref="F9:G9"/>
    <mergeCell ref="B7:C7"/>
    <mergeCell ref="A40:D40"/>
    <mergeCell ref="A65:H65"/>
    <mergeCell ref="A66:H66"/>
    <mergeCell ref="K21:K22"/>
    <mergeCell ref="E20:H20"/>
    <mergeCell ref="E21:H21"/>
    <mergeCell ref="A14:G14"/>
    <mergeCell ref="A15:G15"/>
    <mergeCell ref="A16:G17"/>
    <mergeCell ref="H16:H17"/>
    <mergeCell ref="A3:H3"/>
    <mergeCell ref="A1:H1"/>
    <mergeCell ref="F7:G7"/>
    <mergeCell ref="B8:C8"/>
    <mergeCell ref="B9:C9"/>
    <mergeCell ref="A19:H19"/>
    <mergeCell ref="B20:D20"/>
    <mergeCell ref="A12:H12"/>
    <mergeCell ref="A13:G13"/>
    <mergeCell ref="A47:H47"/>
    <mergeCell ref="A48:G48"/>
    <mergeCell ref="A49:G49"/>
    <mergeCell ref="A50:G50"/>
    <mergeCell ref="A36:H36"/>
    <mergeCell ref="A37:G37"/>
    <mergeCell ref="A5:A6"/>
    <mergeCell ref="B5:C6"/>
    <mergeCell ref="H5:H6"/>
    <mergeCell ref="F5:G6"/>
    <mergeCell ref="F8:G8"/>
    <mergeCell ref="A26:H2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4" max="7" man="1"/>
    <brk id="63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58"/>
  <sheetViews>
    <sheetView view="pageBreakPreview" topLeftCell="A50" workbookViewId="0">
      <selection activeCell="Q101" sqref="Q101"/>
    </sheetView>
  </sheetViews>
  <sheetFormatPr defaultColWidth="8.85546875" defaultRowHeight="15" x14ac:dyDescent="0.25"/>
  <cols>
    <col min="1" max="1" width="8.85546875" style="13"/>
    <col min="2" max="2" width="8.85546875" style="116" customWidth="1"/>
    <col min="3" max="3" width="12.28515625" style="13" hidden="1" customWidth="1"/>
    <col min="4" max="4" width="12.28515625" style="12" bestFit="1" customWidth="1"/>
    <col min="5" max="5" width="12.85546875" style="12" hidden="1" customWidth="1"/>
    <col min="6" max="6" width="12.28515625" style="12" bestFit="1" customWidth="1"/>
    <col min="7" max="7" width="12.85546875" style="12" hidden="1" customWidth="1"/>
    <col min="8" max="8" width="12.28515625" style="12" bestFit="1" customWidth="1"/>
    <col min="9" max="9" width="12.85546875" style="12" hidden="1" customWidth="1"/>
    <col min="10" max="10" width="12.28515625" style="12" bestFit="1" customWidth="1"/>
    <col min="11" max="11" width="15" style="12" hidden="1" customWidth="1"/>
    <col min="12" max="12" width="12.28515625" style="12" bestFit="1" customWidth="1"/>
    <col min="13" max="13" width="9.7109375" hidden="1" customWidth="1"/>
    <col min="14" max="14" width="20" style="14" hidden="1" customWidth="1"/>
    <col min="15" max="15" width="13.85546875" style="68" customWidth="1"/>
  </cols>
  <sheetData>
    <row r="1" spans="1:15" ht="39.950000000000003" customHeight="1" thickBot="1" x14ac:dyDescent="0.3">
      <c r="A1" s="1640" t="str">
        <f>"Månedslønninger pr. "&amp;'Løntabel gældende fra'!D1&amp;" statens takster"</f>
        <v>Månedslønninger pr. 01/04/24 statens takster</v>
      </c>
      <c r="B1" s="1641"/>
      <c r="C1" s="1641"/>
      <c r="D1" s="1641"/>
      <c r="E1" s="1641"/>
      <c r="F1" s="1641"/>
      <c r="G1" s="1641"/>
      <c r="H1" s="1641"/>
      <c r="I1" s="1641"/>
      <c r="J1" s="1641"/>
      <c r="K1" s="1641"/>
      <c r="L1" s="1641"/>
      <c r="M1" s="1641"/>
      <c r="N1" s="1641"/>
      <c r="O1" s="1642"/>
    </row>
    <row r="2" spans="1:15" ht="18" customHeight="1" x14ac:dyDescent="0.25">
      <c r="A2" s="1643" t="s">
        <v>305</v>
      </c>
      <c r="B2" s="1644"/>
      <c r="C2" s="1644"/>
      <c r="D2" s="1644"/>
      <c r="E2" s="1644"/>
      <c r="F2" s="1644"/>
      <c r="G2" s="1644"/>
      <c r="H2" s="1644"/>
      <c r="I2" s="1644"/>
      <c r="J2" s="1644"/>
      <c r="K2" s="1644"/>
      <c r="L2" s="1644"/>
      <c r="M2" s="1644"/>
      <c r="N2" s="1644"/>
      <c r="O2" s="1645"/>
    </row>
    <row r="3" spans="1:15" ht="18" customHeight="1" x14ac:dyDescent="0.25">
      <c r="A3" s="1646" t="s">
        <v>306</v>
      </c>
      <c r="B3" s="1647"/>
      <c r="C3" s="1647"/>
      <c r="D3" s="1647"/>
      <c r="E3" s="1647"/>
      <c r="F3" s="1647"/>
      <c r="G3" s="1647"/>
      <c r="H3" s="1647"/>
      <c r="I3" s="1647"/>
      <c r="J3" s="1647"/>
      <c r="K3" s="1647"/>
      <c r="L3" s="1647"/>
      <c r="M3" s="1647"/>
      <c r="N3" s="1647"/>
      <c r="O3" s="1648"/>
    </row>
    <row r="4" spans="1:15" ht="33.75" customHeight="1" thickBot="1" x14ac:dyDescent="0.3">
      <c r="A4" s="1649"/>
      <c r="B4" s="1650"/>
      <c r="C4" s="1650"/>
      <c r="D4" s="1650"/>
      <c r="E4" s="1650"/>
      <c r="F4" s="1650"/>
      <c r="G4" s="1650"/>
      <c r="H4" s="1650"/>
      <c r="I4" s="1650"/>
      <c r="J4" s="1650"/>
      <c r="K4" s="1650"/>
      <c r="L4" s="1650"/>
      <c r="M4" s="1650"/>
      <c r="N4" s="1650"/>
      <c r="O4" s="1651"/>
    </row>
    <row r="5" spans="1:15" s="31" customFormat="1" ht="26.1" customHeight="1" thickBot="1" x14ac:dyDescent="0.3">
      <c r="A5" s="328" t="s">
        <v>57</v>
      </c>
      <c r="B5" s="349"/>
      <c r="C5" s="351" t="s">
        <v>108</v>
      </c>
      <c r="D5" s="328" t="s">
        <v>52</v>
      </c>
      <c r="E5" s="349" t="s">
        <v>109</v>
      </c>
      <c r="F5" s="350" t="s">
        <v>53</v>
      </c>
      <c r="G5" s="351" t="s">
        <v>110</v>
      </c>
      <c r="H5" s="328" t="s">
        <v>54</v>
      </c>
      <c r="I5" s="349" t="s">
        <v>111</v>
      </c>
      <c r="J5" s="350" t="s">
        <v>55</v>
      </c>
      <c r="K5" s="351" t="s">
        <v>112</v>
      </c>
      <c r="L5" s="328" t="s">
        <v>56</v>
      </c>
      <c r="M5" s="352"/>
      <c r="N5" s="353" t="s">
        <v>113</v>
      </c>
      <c r="O5" s="354" t="s">
        <v>114</v>
      </c>
    </row>
    <row r="6" spans="1:15" ht="20.100000000000001" customHeight="1" x14ac:dyDescent="0.25">
      <c r="A6" s="1638">
        <v>1</v>
      </c>
      <c r="B6" s="339" t="s">
        <v>96</v>
      </c>
      <c r="C6" s="191">
        <v>184817</v>
      </c>
      <c r="D6" s="184">
        <f>ROUND((C6*(1+'Løntabel gældende fra'!$D$7%)),0)</f>
        <v>226968</v>
      </c>
      <c r="E6" s="192">
        <v>188265</v>
      </c>
      <c r="F6" s="193">
        <f>ROUND((E6*(1+'Løntabel gældende fra'!$D$7%)),0)</f>
        <v>231202</v>
      </c>
      <c r="G6" s="191">
        <v>190650</v>
      </c>
      <c r="H6" s="184">
        <f>ROUND((G6*(1+'Løntabel gældende fra'!$D$7%)),0)</f>
        <v>234131</v>
      </c>
      <c r="I6" s="192">
        <v>194098</v>
      </c>
      <c r="J6" s="193">
        <f>ROUND((I6*(1+'Løntabel gældende fra'!$D$7%)),0)</f>
        <v>238365</v>
      </c>
      <c r="K6" s="191">
        <v>196484</v>
      </c>
      <c r="L6" s="184">
        <f>ROUND((K6*(1+'Løntabel gældende fra'!$D$7%)),0)</f>
        <v>241296</v>
      </c>
      <c r="M6" s="377"/>
      <c r="N6" s="357">
        <v>171917.38</v>
      </c>
      <c r="O6" s="198">
        <f>ROUND(N6*(1+'Løntabel gældende fra'!$D$7%),2)</f>
        <v>211126.06</v>
      </c>
    </row>
    <row r="7" spans="1:15" x14ac:dyDescent="0.25">
      <c r="A7" s="1636"/>
      <c r="B7" s="361" t="s">
        <v>97</v>
      </c>
      <c r="C7" s="366">
        <f>C6/12</f>
        <v>15401.416666666666</v>
      </c>
      <c r="D7" s="373">
        <f t="shared" ref="D7:L7" si="0">ROUND(D6/12,2)</f>
        <v>18914</v>
      </c>
      <c r="E7" s="370">
        <f>E6/12</f>
        <v>15688.75</v>
      </c>
      <c r="F7" s="355">
        <f t="shared" si="0"/>
        <v>19266.830000000002</v>
      </c>
      <c r="G7" s="366">
        <f>G6/12</f>
        <v>15887.5</v>
      </c>
      <c r="H7" s="373">
        <f t="shared" si="0"/>
        <v>19510.919999999998</v>
      </c>
      <c r="I7" s="370">
        <f>I6/12</f>
        <v>16174.833333333334</v>
      </c>
      <c r="J7" s="355">
        <f t="shared" si="0"/>
        <v>19863.75</v>
      </c>
      <c r="K7" s="366">
        <f>K6/12</f>
        <v>16373.666666666666</v>
      </c>
      <c r="L7" s="373">
        <f t="shared" si="0"/>
        <v>20108</v>
      </c>
      <c r="M7" s="378"/>
      <c r="N7" s="356"/>
      <c r="O7" s="358">
        <f>ROUND(O6/12,2)</f>
        <v>17593.84</v>
      </c>
    </row>
    <row r="8" spans="1:15" ht="15.75" thickBot="1" x14ac:dyDescent="0.3">
      <c r="A8" s="1637"/>
      <c r="B8" s="341" t="s">
        <v>195</v>
      </c>
      <c r="C8" s="188"/>
      <c r="D8" s="189">
        <f>ROUND(D7/160.33,2)</f>
        <v>117.97</v>
      </c>
      <c r="E8" s="190"/>
      <c r="F8" s="189">
        <f t="shared" ref="F8:O8" si="1">ROUND(F7/160.33,2)</f>
        <v>120.17</v>
      </c>
      <c r="G8" s="189">
        <f t="shared" si="1"/>
        <v>99.09</v>
      </c>
      <c r="H8" s="189">
        <f t="shared" si="1"/>
        <v>121.69</v>
      </c>
      <c r="I8" s="189">
        <f t="shared" si="1"/>
        <v>100.88</v>
      </c>
      <c r="J8" s="189">
        <f t="shared" si="1"/>
        <v>123.89</v>
      </c>
      <c r="K8" s="189">
        <f t="shared" si="1"/>
        <v>102.12</v>
      </c>
      <c r="L8" s="189">
        <f t="shared" si="1"/>
        <v>125.42</v>
      </c>
      <c r="M8" s="189">
        <f t="shared" si="1"/>
        <v>0</v>
      </c>
      <c r="N8" s="189">
        <f t="shared" si="1"/>
        <v>0</v>
      </c>
      <c r="O8" s="189">
        <f t="shared" si="1"/>
        <v>109.74</v>
      </c>
    </row>
    <row r="9" spans="1:15" x14ac:dyDescent="0.25">
      <c r="A9" s="1638">
        <v>2</v>
      </c>
      <c r="B9" s="339" t="s">
        <v>96</v>
      </c>
      <c r="C9" s="191">
        <v>187655</v>
      </c>
      <c r="D9" s="184">
        <f>ROUND((C9*(1+'Løntabel gældende fra'!$D$7%)),0)</f>
        <v>230453</v>
      </c>
      <c r="E9" s="192">
        <v>191187</v>
      </c>
      <c r="F9" s="193">
        <f>ROUND((E9*(1+'Løntabel gældende fra'!$D$7%)),0)</f>
        <v>234790</v>
      </c>
      <c r="G9" s="191">
        <v>193632</v>
      </c>
      <c r="H9" s="184">
        <f>ROUND((G9*(1+'Løntabel gældende fra'!$D$7%)),0)</f>
        <v>237793</v>
      </c>
      <c r="I9" s="192">
        <v>197161</v>
      </c>
      <c r="J9" s="193">
        <f>ROUND((I9*(1+'Løntabel gældende fra'!$D$7%)),0)</f>
        <v>242127</v>
      </c>
      <c r="K9" s="191">
        <v>199607</v>
      </c>
      <c r="L9" s="184">
        <f>ROUND((K9*(1+'Løntabel gældende fra'!$D$7%)),0)</f>
        <v>245131</v>
      </c>
      <c r="M9" s="379"/>
      <c r="N9" s="357">
        <v>174577.34</v>
      </c>
      <c r="O9" s="198">
        <f>ROUND(N9*(1+'Løntabel gældende fra'!$D$7%),2)</f>
        <v>214392.67</v>
      </c>
    </row>
    <row r="10" spans="1:15" x14ac:dyDescent="0.25">
      <c r="A10" s="1636"/>
      <c r="B10" s="361" t="s">
        <v>97</v>
      </c>
      <c r="C10" s="366"/>
      <c r="D10" s="373">
        <f>ROUND(D9/12,2)</f>
        <v>19204.419999999998</v>
      </c>
      <c r="E10" s="370"/>
      <c r="F10" s="355">
        <f>ROUND(F9/12,2)</f>
        <v>19565.830000000002</v>
      </c>
      <c r="G10" s="366">
        <f>G9/12</f>
        <v>16136</v>
      </c>
      <c r="H10" s="373">
        <f>ROUND(H9/12,2)</f>
        <v>19816.080000000002</v>
      </c>
      <c r="I10" s="370">
        <f>I9/12</f>
        <v>16430.083333333332</v>
      </c>
      <c r="J10" s="355">
        <f>ROUND(J9/12,2)</f>
        <v>20177.25</v>
      </c>
      <c r="K10" s="366">
        <f>K9/12</f>
        <v>16633.916666666668</v>
      </c>
      <c r="L10" s="373">
        <f>ROUND(L9/12,2)</f>
        <v>20427.580000000002</v>
      </c>
      <c r="M10" s="378"/>
      <c r="N10" s="356"/>
      <c r="O10" s="358">
        <f>ROUND(O9/12,2)</f>
        <v>17866.060000000001</v>
      </c>
    </row>
    <row r="11" spans="1:15" ht="15.75" thickBot="1" x14ac:dyDescent="0.3">
      <c r="A11" s="1637"/>
      <c r="B11" s="341" t="s">
        <v>195</v>
      </c>
      <c r="C11" s="188">
        <f>C9/12</f>
        <v>15637.916666666666</v>
      </c>
      <c r="D11" s="189">
        <f>ROUND(D10/160.33,2)</f>
        <v>119.78</v>
      </c>
      <c r="E11" s="190">
        <f>E9/12</f>
        <v>15932.25</v>
      </c>
      <c r="F11" s="189">
        <f t="shared" ref="F11:O11" si="2">ROUND(F10/160.33,2)</f>
        <v>122.03</v>
      </c>
      <c r="G11" s="189">
        <f t="shared" si="2"/>
        <v>100.64</v>
      </c>
      <c r="H11" s="189">
        <f t="shared" si="2"/>
        <v>123.6</v>
      </c>
      <c r="I11" s="189">
        <f t="shared" si="2"/>
        <v>102.48</v>
      </c>
      <c r="J11" s="189">
        <f t="shared" si="2"/>
        <v>125.85</v>
      </c>
      <c r="K11" s="189">
        <f t="shared" si="2"/>
        <v>103.75</v>
      </c>
      <c r="L11" s="189">
        <f t="shared" si="2"/>
        <v>127.41</v>
      </c>
      <c r="M11" s="189">
        <f t="shared" si="2"/>
        <v>0</v>
      </c>
      <c r="N11" s="189">
        <f t="shared" si="2"/>
        <v>0</v>
      </c>
      <c r="O11" s="189">
        <f t="shared" si="2"/>
        <v>111.43</v>
      </c>
    </row>
    <row r="12" spans="1:15" x14ac:dyDescent="0.25">
      <c r="A12" s="1638">
        <v>3</v>
      </c>
      <c r="B12" s="339" t="s">
        <v>96</v>
      </c>
      <c r="C12" s="191">
        <v>190571</v>
      </c>
      <c r="D12" s="184">
        <f>ROUND((C12*(1+'Løntabel gældende fra'!$D$7%)),0)</f>
        <v>234034</v>
      </c>
      <c r="E12" s="192">
        <v>194187</v>
      </c>
      <c r="F12" s="193">
        <f>ROUND((E12*(1+'Løntabel gældende fra'!$D$7%)),0)</f>
        <v>238475</v>
      </c>
      <c r="G12" s="191">
        <v>196692</v>
      </c>
      <c r="H12" s="184">
        <f>ROUND((G12*(1+'Løntabel gældende fra'!$D$7%)),0)</f>
        <v>241551</v>
      </c>
      <c r="I12" s="192">
        <v>200308</v>
      </c>
      <c r="J12" s="193">
        <f>ROUND((I12*(1+'Løntabel gældende fra'!$D$7%)),0)</f>
        <v>245992</v>
      </c>
      <c r="K12" s="191">
        <v>202814</v>
      </c>
      <c r="L12" s="184">
        <f>ROUND((K12*(1+'Løntabel gældende fra'!$D$7%)),0)</f>
        <v>249069</v>
      </c>
      <c r="M12" s="379"/>
      <c r="N12" s="357">
        <v>177309.48</v>
      </c>
      <c r="O12" s="198">
        <f>ROUND(N12*(1+'Løntabel gældende fra'!$D$7%),2)</f>
        <v>217747.92</v>
      </c>
    </row>
    <row r="13" spans="1:15" x14ac:dyDescent="0.25">
      <c r="A13" s="1636"/>
      <c r="B13" s="361" t="s">
        <v>97</v>
      </c>
      <c r="C13" s="366">
        <f>C12/12</f>
        <v>15880.916666666666</v>
      </c>
      <c r="D13" s="373">
        <f>ROUND(D12/12,2)</f>
        <v>19502.830000000002</v>
      </c>
      <c r="E13" s="370">
        <f>E12/12</f>
        <v>16182.25</v>
      </c>
      <c r="F13" s="355">
        <f>ROUND(F12/12,2)</f>
        <v>19872.919999999998</v>
      </c>
      <c r="G13" s="366">
        <f>G12/12</f>
        <v>16391</v>
      </c>
      <c r="H13" s="373">
        <f>ROUND(H12/12,2)</f>
        <v>20129.25</v>
      </c>
      <c r="I13" s="370">
        <f>I12/12</f>
        <v>16692.333333333332</v>
      </c>
      <c r="J13" s="355">
        <f>ROUND(J12/12,2)</f>
        <v>20499.330000000002</v>
      </c>
      <c r="K13" s="366">
        <f>K12/12</f>
        <v>16901.166666666668</v>
      </c>
      <c r="L13" s="373">
        <f>ROUND(L12/12,2)</f>
        <v>20755.75</v>
      </c>
      <c r="M13" s="378"/>
      <c r="N13" s="356"/>
      <c r="O13" s="358">
        <f>ROUND(O12/12,2)</f>
        <v>18145.66</v>
      </c>
    </row>
    <row r="14" spans="1:15" ht="15.75" thickBot="1" x14ac:dyDescent="0.3">
      <c r="A14" s="1637"/>
      <c r="B14" s="341" t="s">
        <v>195</v>
      </c>
      <c r="C14" s="367"/>
      <c r="D14" s="189">
        <f>ROUND(D13/160.33,2)</f>
        <v>121.64</v>
      </c>
      <c r="E14" s="371"/>
      <c r="F14" s="189">
        <f t="shared" ref="F14:O14" si="3">ROUND(F13/160.33,2)</f>
        <v>123.95</v>
      </c>
      <c r="G14" s="189">
        <f t="shared" si="3"/>
        <v>102.23</v>
      </c>
      <c r="H14" s="189">
        <f t="shared" si="3"/>
        <v>125.55</v>
      </c>
      <c r="I14" s="189">
        <f t="shared" si="3"/>
        <v>104.11</v>
      </c>
      <c r="J14" s="189">
        <f t="shared" si="3"/>
        <v>127.86</v>
      </c>
      <c r="K14" s="189">
        <f t="shared" si="3"/>
        <v>105.41</v>
      </c>
      <c r="L14" s="189">
        <f t="shared" si="3"/>
        <v>129.46</v>
      </c>
      <c r="M14" s="189">
        <f t="shared" si="3"/>
        <v>0</v>
      </c>
      <c r="N14" s="189">
        <f t="shared" si="3"/>
        <v>0</v>
      </c>
      <c r="O14" s="189">
        <f t="shared" si="3"/>
        <v>113.18</v>
      </c>
    </row>
    <row r="15" spans="1:15" x14ac:dyDescent="0.25">
      <c r="A15" s="1638">
        <v>4</v>
      </c>
      <c r="B15" s="339" t="s">
        <v>96</v>
      </c>
      <c r="C15" s="191">
        <v>193567</v>
      </c>
      <c r="D15" s="184">
        <f>ROUND((C15*(1+'Løntabel gældende fra'!$D$7%)),0)</f>
        <v>237713</v>
      </c>
      <c r="E15" s="192">
        <v>197274</v>
      </c>
      <c r="F15" s="193">
        <f>ROUND((E15*(1+'Løntabel gældende fra'!$D$7%)),0)</f>
        <v>242266</v>
      </c>
      <c r="G15" s="191">
        <v>199840</v>
      </c>
      <c r="H15" s="184">
        <f>ROUND((G15*(1+'Løntabel gældende fra'!$D$7%)),0)</f>
        <v>245417</v>
      </c>
      <c r="I15" s="192">
        <v>203545</v>
      </c>
      <c r="J15" s="193">
        <f>ROUND((I15*(1+'Løntabel gældende fra'!$D$7%)),0)</f>
        <v>249967</v>
      </c>
      <c r="K15" s="191">
        <v>206110</v>
      </c>
      <c r="L15" s="184">
        <f>ROUND((K15*(1+'Løntabel gældende fra'!$D$7%)),0)</f>
        <v>253117</v>
      </c>
      <c r="M15" s="379"/>
      <c r="N15" s="357">
        <v>180117.41</v>
      </c>
      <c r="O15" s="198">
        <f>ROUND(N15*(1+'Løntabel gældende fra'!$D$7%),2)</f>
        <v>221196.25</v>
      </c>
    </row>
    <row r="16" spans="1:15" x14ac:dyDescent="0.25">
      <c r="A16" s="1636"/>
      <c r="B16" s="361" t="s">
        <v>97</v>
      </c>
      <c r="C16" s="366">
        <f>C15/12</f>
        <v>16130.583333333334</v>
      </c>
      <c r="D16" s="373">
        <f>ROUND(D15/12,2)</f>
        <v>19809.419999999998</v>
      </c>
      <c r="E16" s="370">
        <f>E15/12</f>
        <v>16439.5</v>
      </c>
      <c r="F16" s="355">
        <f>ROUND(F15/12,2)</f>
        <v>20188.830000000002</v>
      </c>
      <c r="G16" s="366">
        <f>G15/12</f>
        <v>16653.333333333332</v>
      </c>
      <c r="H16" s="373">
        <f>ROUND(H15/12,2)</f>
        <v>20451.419999999998</v>
      </c>
      <c r="I16" s="370">
        <f>I15/12</f>
        <v>16962.083333333332</v>
      </c>
      <c r="J16" s="355">
        <f>ROUND(J15/12,2)</f>
        <v>20830.580000000002</v>
      </c>
      <c r="K16" s="366">
        <f>K15/12</f>
        <v>17175.833333333332</v>
      </c>
      <c r="L16" s="373">
        <f>ROUND(L15/12,2)</f>
        <v>21093.08</v>
      </c>
      <c r="M16" s="378"/>
      <c r="N16" s="356"/>
      <c r="O16" s="358">
        <f>ROUND(O15/12,2)</f>
        <v>18433.02</v>
      </c>
    </row>
    <row r="17" spans="1:15" ht="15.75" thickBot="1" x14ac:dyDescent="0.3">
      <c r="A17" s="1637"/>
      <c r="B17" s="341" t="s">
        <v>195</v>
      </c>
      <c r="C17" s="367"/>
      <c r="D17" s="189">
        <f>ROUND(D16/160.33,2)</f>
        <v>123.55</v>
      </c>
      <c r="E17" s="371"/>
      <c r="F17" s="189">
        <f t="shared" ref="F17:O17" si="4">ROUND(F16/160.33,2)</f>
        <v>125.92</v>
      </c>
      <c r="G17" s="189">
        <f t="shared" si="4"/>
        <v>103.87</v>
      </c>
      <c r="H17" s="189">
        <f t="shared" si="4"/>
        <v>127.56</v>
      </c>
      <c r="I17" s="189">
        <f t="shared" si="4"/>
        <v>105.79</v>
      </c>
      <c r="J17" s="189">
        <f t="shared" si="4"/>
        <v>129.91999999999999</v>
      </c>
      <c r="K17" s="189">
        <f t="shared" si="4"/>
        <v>107.13</v>
      </c>
      <c r="L17" s="189">
        <f t="shared" si="4"/>
        <v>131.56</v>
      </c>
      <c r="M17" s="189">
        <f t="shared" si="4"/>
        <v>0</v>
      </c>
      <c r="N17" s="189">
        <f t="shared" si="4"/>
        <v>0</v>
      </c>
      <c r="O17" s="189">
        <f t="shared" si="4"/>
        <v>114.97</v>
      </c>
    </row>
    <row r="18" spans="1:15" x14ac:dyDescent="0.25">
      <c r="A18" s="1638">
        <v>5</v>
      </c>
      <c r="B18" s="339" t="s">
        <v>96</v>
      </c>
      <c r="C18" s="191">
        <v>196645</v>
      </c>
      <c r="D18" s="184">
        <f>ROUND((C18*(1+'Løntabel gældende fra'!$D$7%)),0)</f>
        <v>241493</v>
      </c>
      <c r="E18" s="192">
        <v>200442</v>
      </c>
      <c r="F18" s="193">
        <f>ROUND((E18*(1+'Løntabel gældende fra'!$D$7%)),0)</f>
        <v>246156</v>
      </c>
      <c r="G18" s="191">
        <v>203072</v>
      </c>
      <c r="H18" s="184">
        <f>ROUND((G18*(1+'Løntabel gældende fra'!$D$7%)),0)</f>
        <v>249386</v>
      </c>
      <c r="I18" s="192">
        <v>206869</v>
      </c>
      <c r="J18" s="193">
        <f>ROUND((I18*(1+'Løntabel gældende fra'!$D$7%)),0)</f>
        <v>254049</v>
      </c>
      <c r="K18" s="191">
        <v>209497</v>
      </c>
      <c r="L18" s="184">
        <f>ROUND((K18*(1+'Løntabel gældende fra'!$D$7%)),0)</f>
        <v>257276</v>
      </c>
      <c r="M18" s="379"/>
      <c r="N18" s="357">
        <v>183001.14</v>
      </c>
      <c r="O18" s="198">
        <f>ROUND(N18*(1+'Løntabel gældende fra'!$D$7%),2)</f>
        <v>224737.66</v>
      </c>
    </row>
    <row r="19" spans="1:15" x14ac:dyDescent="0.25">
      <c r="A19" s="1636"/>
      <c r="B19" s="361" t="s">
        <v>97</v>
      </c>
      <c r="C19" s="366">
        <f>C18/12</f>
        <v>16387.083333333332</v>
      </c>
      <c r="D19" s="373">
        <f>ROUND(D18/12,2)</f>
        <v>20124.419999999998</v>
      </c>
      <c r="E19" s="370">
        <f>E18/12</f>
        <v>16703.5</v>
      </c>
      <c r="F19" s="355">
        <f>ROUND(F18/12,2)</f>
        <v>20513</v>
      </c>
      <c r="G19" s="366">
        <f>G18/12</f>
        <v>16922.666666666668</v>
      </c>
      <c r="H19" s="373">
        <f>ROUND(H18/12,2)</f>
        <v>20782.169999999998</v>
      </c>
      <c r="I19" s="370">
        <f>I18/12</f>
        <v>17239.083333333332</v>
      </c>
      <c r="J19" s="355">
        <f>ROUND(J18/12,2)</f>
        <v>21170.75</v>
      </c>
      <c r="K19" s="366">
        <f>K18/12</f>
        <v>17458.083333333332</v>
      </c>
      <c r="L19" s="373">
        <f>ROUND(L18/12,2)</f>
        <v>21439.67</v>
      </c>
      <c r="M19" s="378"/>
      <c r="N19" s="356"/>
      <c r="O19" s="358">
        <f>ROUND(O18/12,2)</f>
        <v>18728.14</v>
      </c>
    </row>
    <row r="20" spans="1:15" ht="15.75" thickBot="1" x14ac:dyDescent="0.3">
      <c r="A20" s="1637"/>
      <c r="B20" s="341" t="s">
        <v>195</v>
      </c>
      <c r="C20" s="367"/>
      <c r="D20" s="189">
        <f>ROUND(D19/160.33,2)</f>
        <v>125.52</v>
      </c>
      <c r="E20" s="371"/>
      <c r="F20" s="189">
        <f t="shared" ref="F20:O20" si="5">ROUND(F19/160.33,2)</f>
        <v>127.94</v>
      </c>
      <c r="G20" s="189">
        <f t="shared" si="5"/>
        <v>105.55</v>
      </c>
      <c r="H20" s="189">
        <f t="shared" si="5"/>
        <v>129.62</v>
      </c>
      <c r="I20" s="189">
        <f t="shared" si="5"/>
        <v>107.52</v>
      </c>
      <c r="J20" s="189">
        <f t="shared" si="5"/>
        <v>132.04</v>
      </c>
      <c r="K20" s="189">
        <f t="shared" si="5"/>
        <v>108.89</v>
      </c>
      <c r="L20" s="189">
        <f t="shared" si="5"/>
        <v>133.72</v>
      </c>
      <c r="M20" s="189">
        <f t="shared" si="5"/>
        <v>0</v>
      </c>
      <c r="N20" s="189">
        <f t="shared" si="5"/>
        <v>0</v>
      </c>
      <c r="O20" s="189">
        <f t="shared" si="5"/>
        <v>116.81</v>
      </c>
    </row>
    <row r="21" spans="1:15" x14ac:dyDescent="0.25">
      <c r="A21" s="1635">
        <v>6</v>
      </c>
      <c r="B21" s="182" t="s">
        <v>96</v>
      </c>
      <c r="C21" s="183">
        <v>199810</v>
      </c>
      <c r="D21" s="187">
        <f>ROUND((C21*(1+'Løntabel gældende fra'!$D$7%)),0)</f>
        <v>245380</v>
      </c>
      <c r="E21" s="185">
        <v>203700</v>
      </c>
      <c r="F21" s="186">
        <f>ROUND((E21*(1+'Løntabel gældende fra'!$D$7%)),0)</f>
        <v>250157</v>
      </c>
      <c r="G21" s="183">
        <v>206395</v>
      </c>
      <c r="H21" s="187">
        <f>ROUND((G21*(1+'Løntabel gældende fra'!$D$7%)),0)</f>
        <v>253467</v>
      </c>
      <c r="I21" s="185">
        <v>210285</v>
      </c>
      <c r="J21" s="186">
        <f>ROUND((I21*(1+'Løntabel gældende fra'!$D$7%)),0)</f>
        <v>258244</v>
      </c>
      <c r="K21" s="183">
        <v>212978</v>
      </c>
      <c r="L21" s="187">
        <f>ROUND((K21*(1+'Løntabel gældende fra'!$D$7%)),0)</f>
        <v>261551</v>
      </c>
      <c r="M21" s="380"/>
      <c r="N21" s="359">
        <v>185966.06</v>
      </c>
      <c r="O21" s="360">
        <f>ROUND(N21*(1+'Løntabel gældende fra'!$D$7%),2)</f>
        <v>228378.78</v>
      </c>
    </row>
    <row r="22" spans="1:15" x14ac:dyDescent="0.25">
      <c r="A22" s="1636"/>
      <c r="B22" s="361" t="s">
        <v>97</v>
      </c>
      <c r="C22" s="366">
        <f>C21/12</f>
        <v>16650.833333333332</v>
      </c>
      <c r="D22" s="373">
        <f>ROUND(D21/12,2)</f>
        <v>20448.330000000002</v>
      </c>
      <c r="E22" s="370">
        <f>E21/12</f>
        <v>16975</v>
      </c>
      <c r="F22" s="355">
        <f>ROUND(F21/12,2)</f>
        <v>20846.419999999998</v>
      </c>
      <c r="G22" s="366">
        <f>G21/12</f>
        <v>17199.583333333332</v>
      </c>
      <c r="H22" s="373">
        <f>ROUND(H21/12,2)</f>
        <v>21122.25</v>
      </c>
      <c r="I22" s="370">
        <f>I21/12</f>
        <v>17523.75</v>
      </c>
      <c r="J22" s="355">
        <f>ROUND(J21/12,2)</f>
        <v>21520.33</v>
      </c>
      <c r="K22" s="366">
        <f>K21/12</f>
        <v>17748.166666666668</v>
      </c>
      <c r="L22" s="373">
        <f>ROUND(L21/12,2)</f>
        <v>21795.919999999998</v>
      </c>
      <c r="M22" s="378"/>
      <c r="N22" s="356"/>
      <c r="O22" s="358">
        <f>ROUND(O21/12,2)</f>
        <v>19031.57</v>
      </c>
    </row>
    <row r="23" spans="1:15" ht="15.75" thickBot="1" x14ac:dyDescent="0.3">
      <c r="A23" s="1639"/>
      <c r="B23" s="362" t="s">
        <v>195</v>
      </c>
      <c r="C23" s="368"/>
      <c r="D23" s="374">
        <f>ROUND(D22/160.33,2)</f>
        <v>127.54</v>
      </c>
      <c r="E23" s="372"/>
      <c r="F23" s="374">
        <f t="shared" ref="F23:O23" si="6">ROUND(F22/160.33,2)</f>
        <v>130.02000000000001</v>
      </c>
      <c r="G23" s="374">
        <f t="shared" si="6"/>
        <v>107.28</v>
      </c>
      <c r="H23" s="374">
        <f t="shared" si="6"/>
        <v>131.74</v>
      </c>
      <c r="I23" s="374">
        <f t="shared" si="6"/>
        <v>109.3</v>
      </c>
      <c r="J23" s="374">
        <f t="shared" si="6"/>
        <v>134.22999999999999</v>
      </c>
      <c r="K23" s="374">
        <f t="shared" si="6"/>
        <v>110.7</v>
      </c>
      <c r="L23" s="374">
        <f t="shared" si="6"/>
        <v>135.94</v>
      </c>
      <c r="M23" s="374">
        <f t="shared" si="6"/>
        <v>0</v>
      </c>
      <c r="N23" s="374">
        <f t="shared" si="6"/>
        <v>0</v>
      </c>
      <c r="O23" s="374">
        <f t="shared" si="6"/>
        <v>118.7</v>
      </c>
    </row>
    <row r="24" spans="1:15" x14ac:dyDescent="0.25">
      <c r="A24" s="1638">
        <v>7</v>
      </c>
      <c r="B24" s="339" t="s">
        <v>96</v>
      </c>
      <c r="C24" s="191">
        <v>203058</v>
      </c>
      <c r="D24" s="184">
        <f>ROUND((C24*(1+'Løntabel gældende fra'!$D$7%)),0)</f>
        <v>249369</v>
      </c>
      <c r="E24" s="192">
        <v>207045</v>
      </c>
      <c r="F24" s="193">
        <f>ROUND((E24*(1+'Løntabel gældende fra'!$D$7%)),0)</f>
        <v>254265</v>
      </c>
      <c r="G24" s="191">
        <v>209805</v>
      </c>
      <c r="H24" s="184">
        <f>ROUND((G24*(1+'Løntabel gældende fra'!$D$7%)),0)</f>
        <v>257655</v>
      </c>
      <c r="I24" s="192">
        <v>213792</v>
      </c>
      <c r="J24" s="193">
        <f>ROUND((I24*(1+'Løntabel gældende fra'!$D$7%)),0)</f>
        <v>262551</v>
      </c>
      <c r="K24" s="191">
        <v>216551</v>
      </c>
      <c r="L24" s="184">
        <f>ROUND((K24*(1+'Løntabel gældende fra'!$D$7%)),0)</f>
        <v>265939</v>
      </c>
      <c r="M24" s="379"/>
      <c r="N24" s="357">
        <v>189010.4</v>
      </c>
      <c r="O24" s="198">
        <f>ROUND(N24*(1+'Løntabel gældende fra'!$D$7%),2)</f>
        <v>232117.43</v>
      </c>
    </row>
    <row r="25" spans="1:15" x14ac:dyDescent="0.25">
      <c r="A25" s="1636"/>
      <c r="B25" s="361" t="s">
        <v>97</v>
      </c>
      <c r="C25" s="366"/>
      <c r="D25" s="373">
        <f>ROUND(D24/12,2)</f>
        <v>20780.75</v>
      </c>
      <c r="E25" s="370">
        <f>E24/12</f>
        <v>17253.75</v>
      </c>
      <c r="F25" s="355">
        <f>ROUND(F24/12,2)</f>
        <v>21188.75</v>
      </c>
      <c r="G25" s="366">
        <f>G24/12</f>
        <v>17483.75</v>
      </c>
      <c r="H25" s="373">
        <f>ROUND(H24/12,2)</f>
        <v>21471.25</v>
      </c>
      <c r="I25" s="370">
        <f>I24/12</f>
        <v>17816</v>
      </c>
      <c r="J25" s="355">
        <f>ROUND(J24/12,2)</f>
        <v>21879.25</v>
      </c>
      <c r="K25" s="366">
        <f>K24/12</f>
        <v>18045.916666666668</v>
      </c>
      <c r="L25" s="373">
        <f>ROUND(L24/12,2)</f>
        <v>22161.58</v>
      </c>
      <c r="M25" s="378"/>
      <c r="N25" s="356"/>
      <c r="O25" s="358">
        <f>ROUND(O24/12,2)</f>
        <v>19343.12</v>
      </c>
    </row>
    <row r="26" spans="1:15" ht="15.75" thickBot="1" x14ac:dyDescent="0.3">
      <c r="A26" s="1637"/>
      <c r="B26" s="341" t="s">
        <v>195</v>
      </c>
      <c r="C26" s="188">
        <f>C24/12</f>
        <v>16921.5</v>
      </c>
      <c r="D26" s="189">
        <f>ROUND(D25/160.33,2)</f>
        <v>129.61000000000001</v>
      </c>
      <c r="E26" s="371"/>
      <c r="F26" s="189">
        <f t="shared" ref="F26:O26" si="7">ROUND(F25/160.33,2)</f>
        <v>132.16</v>
      </c>
      <c r="G26" s="189">
        <f t="shared" si="7"/>
        <v>109.05</v>
      </c>
      <c r="H26" s="189">
        <f t="shared" si="7"/>
        <v>133.91999999999999</v>
      </c>
      <c r="I26" s="189">
        <f t="shared" si="7"/>
        <v>111.12</v>
      </c>
      <c r="J26" s="189">
        <f t="shared" si="7"/>
        <v>136.46</v>
      </c>
      <c r="K26" s="189">
        <f t="shared" si="7"/>
        <v>112.55</v>
      </c>
      <c r="L26" s="189">
        <f t="shared" si="7"/>
        <v>138.22</v>
      </c>
      <c r="M26" s="189">
        <f t="shared" si="7"/>
        <v>0</v>
      </c>
      <c r="N26" s="189">
        <f t="shared" si="7"/>
        <v>0</v>
      </c>
      <c r="O26" s="189">
        <f t="shared" si="7"/>
        <v>120.65</v>
      </c>
    </row>
    <row r="27" spans="1:15" x14ac:dyDescent="0.25">
      <c r="A27" s="1635">
        <v>8</v>
      </c>
      <c r="B27" s="182" t="s">
        <v>96</v>
      </c>
      <c r="C27" s="183">
        <v>206396</v>
      </c>
      <c r="D27" s="187">
        <f>ROUND((C27*(1+'Løntabel gældende fra'!$D$7%)),0)</f>
        <v>253468</v>
      </c>
      <c r="E27" s="185">
        <v>210482</v>
      </c>
      <c r="F27" s="186">
        <f>ROUND((E27*(1+'Løntabel gældende fra'!$D$7%)),0)</f>
        <v>258486</v>
      </c>
      <c r="G27" s="183">
        <v>213311</v>
      </c>
      <c r="H27" s="187">
        <f>ROUND((G27*(1+'Løntabel gældende fra'!$D$7%)),0)</f>
        <v>261960</v>
      </c>
      <c r="I27" s="185">
        <v>217397</v>
      </c>
      <c r="J27" s="186">
        <f>ROUND((I27*(1+'Løntabel gældende fra'!$D$7%)),0)</f>
        <v>266978</v>
      </c>
      <c r="K27" s="183">
        <v>220226</v>
      </c>
      <c r="L27" s="187">
        <f>ROUND((K27*(1+'Løntabel gældende fra'!$D$7%)),0)</f>
        <v>270452</v>
      </c>
      <c r="M27" s="380"/>
      <c r="N27" s="359">
        <v>192139.54</v>
      </c>
      <c r="O27" s="360">
        <f>ROUND(N27*(1+'Løntabel gældende fra'!$D$7%),2)</f>
        <v>235960.23</v>
      </c>
    </row>
    <row r="28" spans="1:15" x14ac:dyDescent="0.25">
      <c r="A28" s="1636"/>
      <c r="B28" s="361" t="s">
        <v>97</v>
      </c>
      <c r="C28" s="366"/>
      <c r="D28" s="373">
        <f>ROUND(D27/12,2)</f>
        <v>21122.33</v>
      </c>
      <c r="E28" s="370">
        <f>E27/12</f>
        <v>17540.166666666668</v>
      </c>
      <c r="F28" s="355">
        <f>ROUND(F27/12,2)</f>
        <v>21540.5</v>
      </c>
      <c r="G28" s="366">
        <f>G27/12</f>
        <v>17775.916666666668</v>
      </c>
      <c r="H28" s="373">
        <f>ROUND(H27/12,2)</f>
        <v>21830</v>
      </c>
      <c r="I28" s="370">
        <f>I27/12</f>
        <v>18116.416666666668</v>
      </c>
      <c r="J28" s="355">
        <f>ROUND(J27/12,2)</f>
        <v>22248.17</v>
      </c>
      <c r="K28" s="366">
        <f>K27/12</f>
        <v>18352.166666666668</v>
      </c>
      <c r="L28" s="373">
        <f>ROUND(L27/12,2)</f>
        <v>22537.67</v>
      </c>
      <c r="M28" s="378"/>
      <c r="N28" s="356"/>
      <c r="O28" s="358">
        <f>ROUND(O27/12,2)</f>
        <v>19663.349999999999</v>
      </c>
    </row>
    <row r="29" spans="1:15" ht="15.75" thickBot="1" x14ac:dyDescent="0.3">
      <c r="A29" s="1639"/>
      <c r="B29" s="362" t="s">
        <v>195</v>
      </c>
      <c r="C29" s="369">
        <f>C27/12</f>
        <v>17199.666666666668</v>
      </c>
      <c r="D29" s="374">
        <f>ROUND(D28/160.33,2)</f>
        <v>131.74</v>
      </c>
      <c r="E29" s="372"/>
      <c r="F29" s="374">
        <f t="shared" ref="F29:O29" si="8">ROUND(F28/160.33,2)</f>
        <v>134.35</v>
      </c>
      <c r="G29" s="374">
        <f t="shared" si="8"/>
        <v>110.87</v>
      </c>
      <c r="H29" s="374">
        <f t="shared" si="8"/>
        <v>136.16</v>
      </c>
      <c r="I29" s="374">
        <f t="shared" si="8"/>
        <v>112.99</v>
      </c>
      <c r="J29" s="374">
        <f t="shared" si="8"/>
        <v>138.76</v>
      </c>
      <c r="K29" s="374">
        <f t="shared" si="8"/>
        <v>114.46</v>
      </c>
      <c r="L29" s="374">
        <f t="shared" si="8"/>
        <v>140.57</v>
      </c>
      <c r="M29" s="374">
        <f t="shared" si="8"/>
        <v>0</v>
      </c>
      <c r="N29" s="374">
        <f t="shared" si="8"/>
        <v>0</v>
      </c>
      <c r="O29" s="374">
        <f t="shared" si="8"/>
        <v>122.64</v>
      </c>
    </row>
    <row r="30" spans="1:15" x14ac:dyDescent="0.25">
      <c r="A30" s="1638">
        <v>9</v>
      </c>
      <c r="B30" s="339" t="s">
        <v>96</v>
      </c>
      <c r="C30" s="191">
        <v>209829</v>
      </c>
      <c r="D30" s="184">
        <f>ROUND((C30*(1+'Løntabel gældende fra'!$D$7%)),0)</f>
        <v>257684</v>
      </c>
      <c r="E30" s="192">
        <v>214015</v>
      </c>
      <c r="F30" s="193">
        <f>ROUND((E30*(1+'Løntabel gældende fra'!$D$7%)),0)</f>
        <v>262825</v>
      </c>
      <c r="G30" s="191">
        <v>216916</v>
      </c>
      <c r="H30" s="184">
        <f>ROUND((G30*(1+'Løntabel gældende fra'!$D$7%)),0)</f>
        <v>266387</v>
      </c>
      <c r="I30" s="192">
        <v>221102</v>
      </c>
      <c r="J30" s="193">
        <f>ROUND((I30*(1+'Løntabel gældende fra'!$D$7%)),0)</f>
        <v>271528</v>
      </c>
      <c r="K30" s="191">
        <v>224002</v>
      </c>
      <c r="L30" s="184">
        <f>ROUND((K30*(1+'Løntabel gældende fra'!$D$7%)),0)</f>
        <v>275089</v>
      </c>
      <c r="M30" s="379"/>
      <c r="N30" s="357">
        <v>195355.31</v>
      </c>
      <c r="O30" s="198">
        <f>ROUND(N30*(1+'Løntabel gældende fra'!$D$7%),2)</f>
        <v>239909.41</v>
      </c>
    </row>
    <row r="31" spans="1:15" x14ac:dyDescent="0.25">
      <c r="A31" s="1636"/>
      <c r="B31" s="361" t="s">
        <v>200</v>
      </c>
      <c r="C31" s="366"/>
      <c r="D31" s="373">
        <f>ROUND(D30/12,2)</f>
        <v>21473.67</v>
      </c>
      <c r="E31" s="370">
        <f>E30/12</f>
        <v>17834.583333333332</v>
      </c>
      <c r="F31" s="355">
        <f>ROUND(F30/12,2)</f>
        <v>21902.080000000002</v>
      </c>
      <c r="G31" s="366">
        <f>G30/12</f>
        <v>18076.333333333332</v>
      </c>
      <c r="H31" s="373">
        <f>ROUND(H30/12,2)</f>
        <v>22198.92</v>
      </c>
      <c r="I31" s="370">
        <f>I30/12</f>
        <v>18425.166666666668</v>
      </c>
      <c r="J31" s="355">
        <f>ROUND(J30/12,2)</f>
        <v>22627.33</v>
      </c>
      <c r="K31" s="366">
        <f>K30/12</f>
        <v>18666.833333333332</v>
      </c>
      <c r="L31" s="373">
        <f>ROUND(L30/12,2)</f>
        <v>22924.080000000002</v>
      </c>
      <c r="M31" s="378"/>
      <c r="N31" s="356"/>
      <c r="O31" s="358">
        <f>ROUND(O30/12,2)</f>
        <v>19992.45</v>
      </c>
    </row>
    <row r="32" spans="1:15" ht="15.75" thickBot="1" x14ac:dyDescent="0.3">
      <c r="A32" s="1637"/>
      <c r="B32" s="341" t="s">
        <v>195</v>
      </c>
      <c r="C32" s="188">
        <f>C30/12</f>
        <v>17485.75</v>
      </c>
      <c r="D32" s="189">
        <f>ROUND(D31/160.33,2)</f>
        <v>133.93</v>
      </c>
      <c r="E32" s="371"/>
      <c r="F32" s="189">
        <f t="shared" ref="F32:O32" si="9">ROUND(F31/160.33,2)</f>
        <v>136.61000000000001</v>
      </c>
      <c r="G32" s="189">
        <f t="shared" si="9"/>
        <v>112.74</v>
      </c>
      <c r="H32" s="189">
        <f t="shared" si="9"/>
        <v>138.46</v>
      </c>
      <c r="I32" s="189">
        <f t="shared" si="9"/>
        <v>114.92</v>
      </c>
      <c r="J32" s="189">
        <f t="shared" si="9"/>
        <v>141.13</v>
      </c>
      <c r="K32" s="189">
        <f t="shared" si="9"/>
        <v>116.43</v>
      </c>
      <c r="L32" s="189">
        <f t="shared" si="9"/>
        <v>142.97999999999999</v>
      </c>
      <c r="M32" s="189">
        <f t="shared" si="9"/>
        <v>0</v>
      </c>
      <c r="N32" s="189">
        <f t="shared" si="9"/>
        <v>0</v>
      </c>
      <c r="O32" s="189">
        <f t="shared" si="9"/>
        <v>124.7</v>
      </c>
    </row>
    <row r="33" spans="1:15" x14ac:dyDescent="0.25">
      <c r="A33" s="1635">
        <v>10</v>
      </c>
      <c r="B33" s="182" t="s">
        <v>96</v>
      </c>
      <c r="C33" s="183">
        <v>213353</v>
      </c>
      <c r="D33" s="187">
        <f>ROUND((C33*(1+'Løntabel gældende fra'!$D$7%)),0)</f>
        <v>262012</v>
      </c>
      <c r="E33" s="185">
        <v>217646</v>
      </c>
      <c r="F33" s="186">
        <f>ROUND((E33*(1+'Løntabel gældende fra'!$D$7%)),0)</f>
        <v>267284</v>
      </c>
      <c r="G33" s="183">
        <v>220617</v>
      </c>
      <c r="H33" s="187">
        <f>ROUND((G33*(1+'Løntabel gældende fra'!$D$7%)),0)</f>
        <v>270932</v>
      </c>
      <c r="I33" s="185">
        <v>224909</v>
      </c>
      <c r="J33" s="186">
        <f>ROUND((I33*(1+'Løntabel gældende fra'!$D$7%)),0)</f>
        <v>276203</v>
      </c>
      <c r="K33" s="183">
        <v>227882</v>
      </c>
      <c r="L33" s="187">
        <f>ROUND((K33*(1+'Løntabel gældende fra'!$D$7%)),0)</f>
        <v>279854</v>
      </c>
      <c r="M33" s="380"/>
      <c r="N33" s="359">
        <v>198659.5</v>
      </c>
      <c r="O33" s="360">
        <f>ROUND(N33*(1+'Løntabel gældende fra'!$D$7%),2)</f>
        <v>243967.18</v>
      </c>
    </row>
    <row r="34" spans="1:15" x14ac:dyDescent="0.25">
      <c r="A34" s="1636"/>
      <c r="B34" s="361" t="s">
        <v>97</v>
      </c>
      <c r="C34" s="366"/>
      <c r="D34" s="373">
        <f>ROUND(D33/12,2)</f>
        <v>21834.33</v>
      </c>
      <c r="E34" s="370">
        <f>E33/12</f>
        <v>18137.166666666668</v>
      </c>
      <c r="F34" s="355">
        <f>ROUND(F33/12,2)</f>
        <v>22273.67</v>
      </c>
      <c r="G34" s="366">
        <f>G33/12</f>
        <v>18384.75</v>
      </c>
      <c r="H34" s="373">
        <f>ROUND(H33/12,2)</f>
        <v>22577.67</v>
      </c>
      <c r="I34" s="370">
        <f>I33/12</f>
        <v>18742.416666666668</v>
      </c>
      <c r="J34" s="355">
        <f>ROUND(J33/12,2)</f>
        <v>23016.92</v>
      </c>
      <c r="K34" s="366">
        <f>K33/12</f>
        <v>18990.166666666668</v>
      </c>
      <c r="L34" s="373">
        <f>ROUND(L33/12,2)</f>
        <v>23321.17</v>
      </c>
      <c r="M34" s="378"/>
      <c r="N34" s="356"/>
      <c r="O34" s="358">
        <f>ROUND(O33/12,2)</f>
        <v>20330.599999999999</v>
      </c>
    </row>
    <row r="35" spans="1:15" ht="15.75" thickBot="1" x14ac:dyDescent="0.3">
      <c r="A35" s="1639"/>
      <c r="B35" s="362" t="s">
        <v>195</v>
      </c>
      <c r="C35" s="369">
        <f>C33/12</f>
        <v>17779.416666666668</v>
      </c>
      <c r="D35" s="374">
        <f>ROUND(D34/160.33,2)</f>
        <v>136.18</v>
      </c>
      <c r="E35" s="372"/>
      <c r="F35" s="374">
        <f t="shared" ref="F35:O35" si="10">ROUND(F34/160.33,2)</f>
        <v>138.91999999999999</v>
      </c>
      <c r="G35" s="374">
        <f t="shared" si="10"/>
        <v>114.67</v>
      </c>
      <c r="H35" s="374">
        <f t="shared" si="10"/>
        <v>140.82</v>
      </c>
      <c r="I35" s="374">
        <f t="shared" si="10"/>
        <v>116.9</v>
      </c>
      <c r="J35" s="374">
        <f t="shared" si="10"/>
        <v>143.56</v>
      </c>
      <c r="K35" s="374">
        <f t="shared" si="10"/>
        <v>118.44</v>
      </c>
      <c r="L35" s="374">
        <f t="shared" si="10"/>
        <v>145.46</v>
      </c>
      <c r="M35" s="374">
        <f t="shared" si="10"/>
        <v>0</v>
      </c>
      <c r="N35" s="374">
        <f t="shared" si="10"/>
        <v>0</v>
      </c>
      <c r="O35" s="374">
        <f t="shared" si="10"/>
        <v>126.8</v>
      </c>
    </row>
    <row r="36" spans="1:15" x14ac:dyDescent="0.25">
      <c r="A36" s="1638">
        <v>11</v>
      </c>
      <c r="B36" s="339" t="s">
        <v>96</v>
      </c>
      <c r="C36" s="191">
        <v>216134</v>
      </c>
      <c r="D36" s="184">
        <f>ROUND((C36*(1+'Løntabel gældende fra'!$D$7%)),0)</f>
        <v>265427</v>
      </c>
      <c r="E36" s="192">
        <v>220533</v>
      </c>
      <c r="F36" s="193">
        <f>ROUND((E36*(1+'Løntabel gældende fra'!$D$7%)),0)</f>
        <v>270829</v>
      </c>
      <c r="G36" s="191">
        <v>223579</v>
      </c>
      <c r="H36" s="184">
        <f>ROUND((G36*(1+'Løntabel gældende fra'!$D$7%)),0)</f>
        <v>274570</v>
      </c>
      <c r="I36" s="192">
        <v>227978</v>
      </c>
      <c r="J36" s="193">
        <f>ROUND((I36*(1+'Løntabel gældende fra'!$D$7%)),0)</f>
        <v>279972</v>
      </c>
      <c r="K36" s="191">
        <v>231023</v>
      </c>
      <c r="L36" s="184">
        <f>ROUND((K36*(1+'Løntabel gældende fra'!$D$7%)),0)</f>
        <v>283712</v>
      </c>
      <c r="M36" s="379"/>
      <c r="N36" s="357">
        <v>202053.93</v>
      </c>
      <c r="O36" s="198">
        <f>ROUND(N36*(1+'Løntabel gældende fra'!$D$7%),2)</f>
        <v>248135.76</v>
      </c>
    </row>
    <row r="37" spans="1:15" x14ac:dyDescent="0.25">
      <c r="A37" s="1636"/>
      <c r="B37" s="361" t="s">
        <v>200</v>
      </c>
      <c r="C37" s="366"/>
      <c r="D37" s="373">
        <f>ROUND(D36/12,2)</f>
        <v>22118.92</v>
      </c>
      <c r="E37" s="370">
        <f>E36/12</f>
        <v>18377.75</v>
      </c>
      <c r="F37" s="355">
        <f>ROUND(F36/12,2)</f>
        <v>22569.08</v>
      </c>
      <c r="G37" s="366">
        <f>G36/12</f>
        <v>18631.583333333332</v>
      </c>
      <c r="H37" s="373">
        <f>ROUND(H36/12,2)</f>
        <v>22880.83</v>
      </c>
      <c r="I37" s="370">
        <f>I36/12</f>
        <v>18998.166666666668</v>
      </c>
      <c r="J37" s="355">
        <f>ROUND(J36/12,2)</f>
        <v>23331</v>
      </c>
      <c r="K37" s="366">
        <f>K36/12</f>
        <v>19251.916666666668</v>
      </c>
      <c r="L37" s="373">
        <f>ROUND(L36/12,2)</f>
        <v>23642.67</v>
      </c>
      <c r="M37" s="378"/>
      <c r="N37" s="356"/>
      <c r="O37" s="358">
        <f>ROUND(O36/12,2)</f>
        <v>20677.98</v>
      </c>
    </row>
    <row r="38" spans="1:15" ht="15.75" thickBot="1" x14ac:dyDescent="0.3">
      <c r="A38" s="1637"/>
      <c r="B38" s="341" t="s">
        <v>195</v>
      </c>
      <c r="C38" s="188">
        <f>C36/12</f>
        <v>18011.166666666668</v>
      </c>
      <c r="D38" s="189">
        <f>ROUND(D37/160.33,2)</f>
        <v>137.96</v>
      </c>
      <c r="E38" s="371"/>
      <c r="F38" s="189">
        <f t="shared" ref="F38:O38" si="11">ROUND(F37/160.33,2)</f>
        <v>140.77000000000001</v>
      </c>
      <c r="G38" s="189">
        <f t="shared" si="11"/>
        <v>116.21</v>
      </c>
      <c r="H38" s="189">
        <f t="shared" si="11"/>
        <v>142.71</v>
      </c>
      <c r="I38" s="189">
        <f t="shared" si="11"/>
        <v>118.49</v>
      </c>
      <c r="J38" s="189">
        <f t="shared" si="11"/>
        <v>145.52000000000001</v>
      </c>
      <c r="K38" s="189">
        <f t="shared" si="11"/>
        <v>120.08</v>
      </c>
      <c r="L38" s="189">
        <f t="shared" si="11"/>
        <v>147.46</v>
      </c>
      <c r="M38" s="189">
        <f t="shared" si="11"/>
        <v>0</v>
      </c>
      <c r="N38" s="189">
        <f t="shared" si="11"/>
        <v>0</v>
      </c>
      <c r="O38" s="189">
        <f t="shared" si="11"/>
        <v>128.97</v>
      </c>
    </row>
    <row r="39" spans="1:15" x14ac:dyDescent="0.25">
      <c r="A39" s="1635">
        <v>12</v>
      </c>
      <c r="B39" s="182" t="s">
        <v>96</v>
      </c>
      <c r="C39" s="183">
        <v>219855</v>
      </c>
      <c r="D39" s="187">
        <f>ROUND((C39*(1+'Løntabel gældende fra'!$D$7%)),0)</f>
        <v>269997</v>
      </c>
      <c r="E39" s="185">
        <v>224365</v>
      </c>
      <c r="F39" s="186">
        <f>ROUND((E39*(1+'Løntabel gældende fra'!$D$7%)),0)</f>
        <v>275535</v>
      </c>
      <c r="G39" s="183">
        <v>227489</v>
      </c>
      <c r="H39" s="187">
        <f>ROUND((G39*(1+'Løntabel gældende fra'!$D$7%)),0)</f>
        <v>279372</v>
      </c>
      <c r="I39" s="185">
        <v>231997</v>
      </c>
      <c r="J39" s="186">
        <f>ROUND((I39*(1+'Løntabel gældende fra'!$D$7%)),0)</f>
        <v>284908</v>
      </c>
      <c r="K39" s="183">
        <v>235119</v>
      </c>
      <c r="L39" s="187">
        <f>ROUND((K39*(1+'Løntabel gældende fra'!$D$7%)),0)</f>
        <v>288742</v>
      </c>
      <c r="M39" s="380"/>
      <c r="N39" s="359">
        <v>205542.18</v>
      </c>
      <c r="O39" s="360">
        <f>ROUND(N39*(1+'Løntabel gældende fra'!$D$7%),2)</f>
        <v>252419.57</v>
      </c>
    </row>
    <row r="40" spans="1:15" x14ac:dyDescent="0.25">
      <c r="A40" s="1636"/>
      <c r="B40" s="361" t="s">
        <v>97</v>
      </c>
      <c r="C40" s="366"/>
      <c r="D40" s="373">
        <f>ROUND(D39/12,2)</f>
        <v>22499.75</v>
      </c>
      <c r="E40" s="370">
        <f>E39/12</f>
        <v>18697.083333333332</v>
      </c>
      <c r="F40" s="355">
        <f>ROUND(F39/12,2)</f>
        <v>22961.25</v>
      </c>
      <c r="G40" s="366">
        <f>G39/12</f>
        <v>18957.416666666668</v>
      </c>
      <c r="H40" s="373">
        <f>ROUND(H39/12,2)</f>
        <v>23281</v>
      </c>
      <c r="I40" s="370">
        <f>I39/12</f>
        <v>19333.083333333332</v>
      </c>
      <c r="J40" s="355">
        <f>ROUND(J39/12,2)</f>
        <v>23742.33</v>
      </c>
      <c r="K40" s="366">
        <f>K39/12</f>
        <v>19593.25</v>
      </c>
      <c r="L40" s="373">
        <f>ROUND(L39/12,2)</f>
        <v>24061.83</v>
      </c>
      <c r="M40" s="378"/>
      <c r="N40" s="356"/>
      <c r="O40" s="358">
        <f>ROUND(O39/12,2)</f>
        <v>21034.959999999999</v>
      </c>
    </row>
    <row r="41" spans="1:15" ht="15.75" thickBot="1" x14ac:dyDescent="0.3">
      <c r="A41" s="1639"/>
      <c r="B41" s="362" t="s">
        <v>195</v>
      </c>
      <c r="C41" s="369">
        <f>C39/12</f>
        <v>18321.25</v>
      </c>
      <c r="D41" s="374">
        <f>ROUND(D40/160.33,2)</f>
        <v>140.33000000000001</v>
      </c>
      <c r="E41" s="374">
        <f t="shared" ref="E41:O41" si="12">ROUND(E40/160.33,2)</f>
        <v>116.62</v>
      </c>
      <c r="F41" s="374">
        <f t="shared" si="12"/>
        <v>143.21</v>
      </c>
      <c r="G41" s="374">
        <f t="shared" si="12"/>
        <v>118.24</v>
      </c>
      <c r="H41" s="374">
        <f t="shared" si="12"/>
        <v>145.21</v>
      </c>
      <c r="I41" s="374">
        <f t="shared" si="12"/>
        <v>120.58</v>
      </c>
      <c r="J41" s="374">
        <f t="shared" si="12"/>
        <v>148.08000000000001</v>
      </c>
      <c r="K41" s="374">
        <f t="shared" si="12"/>
        <v>122.21</v>
      </c>
      <c r="L41" s="374">
        <f t="shared" si="12"/>
        <v>150.08000000000001</v>
      </c>
      <c r="M41" s="374">
        <f t="shared" si="12"/>
        <v>0</v>
      </c>
      <c r="N41" s="374">
        <f t="shared" si="12"/>
        <v>0</v>
      </c>
      <c r="O41" s="374">
        <f t="shared" si="12"/>
        <v>131.19999999999999</v>
      </c>
    </row>
    <row r="42" spans="1:15" x14ac:dyDescent="0.25">
      <c r="A42" s="1638">
        <v>13</v>
      </c>
      <c r="B42" s="339" t="s">
        <v>96</v>
      </c>
      <c r="C42" s="191">
        <v>223681</v>
      </c>
      <c r="D42" s="184">
        <f>ROUND((C42*(1+'Løntabel gældende fra'!$D$7%)),0)</f>
        <v>274695</v>
      </c>
      <c r="E42" s="192">
        <v>228304</v>
      </c>
      <c r="F42" s="193">
        <f>ROUND((E42*(1+'Løntabel gældende fra'!$D$7%)),0)</f>
        <v>280373</v>
      </c>
      <c r="G42" s="191">
        <v>231504</v>
      </c>
      <c r="H42" s="184">
        <f>ROUND((G42*(1+'Løntabel gældende fra'!$D$7%)),0)</f>
        <v>284302</v>
      </c>
      <c r="I42" s="192">
        <v>236129</v>
      </c>
      <c r="J42" s="193">
        <f>ROUND((I42*(1+'Løntabel gældende fra'!$D$7%)),0)</f>
        <v>289982</v>
      </c>
      <c r="K42" s="191">
        <v>239328</v>
      </c>
      <c r="L42" s="184">
        <f>ROUND((K42*(1+'Løntabel gældende fra'!$D$7%)),0)</f>
        <v>293911</v>
      </c>
      <c r="M42" s="379"/>
      <c r="N42" s="357">
        <v>209126.09</v>
      </c>
      <c r="O42" s="198">
        <f>ROUND(N42*(1+'Løntabel gældende fra'!$D$7%),2)</f>
        <v>256820.85</v>
      </c>
    </row>
    <row r="43" spans="1:15" x14ac:dyDescent="0.25">
      <c r="A43" s="1636"/>
      <c r="B43" s="361" t="s">
        <v>200</v>
      </c>
      <c r="C43" s="366"/>
      <c r="D43" s="373">
        <f>ROUND(D42/12,2)</f>
        <v>22891.25</v>
      </c>
      <c r="E43" s="370">
        <f>E42/12</f>
        <v>19025.333333333332</v>
      </c>
      <c r="F43" s="355">
        <f>ROUND(F42/12,2)</f>
        <v>23364.42</v>
      </c>
      <c r="G43" s="366">
        <f>G42/12</f>
        <v>19292</v>
      </c>
      <c r="H43" s="373">
        <f>ROUND(H42/12,2)</f>
        <v>23691.83</v>
      </c>
      <c r="I43" s="370">
        <f>I42/12</f>
        <v>19677.416666666668</v>
      </c>
      <c r="J43" s="355">
        <f>ROUND(J42/12,2)</f>
        <v>24165.17</v>
      </c>
      <c r="K43" s="366">
        <f>K42/12</f>
        <v>19944</v>
      </c>
      <c r="L43" s="373">
        <f>ROUND(L42/12,2)</f>
        <v>24492.58</v>
      </c>
      <c r="M43" s="378"/>
      <c r="N43" s="356"/>
      <c r="O43" s="358">
        <f>ROUND(O42/12,2)</f>
        <v>21401.74</v>
      </c>
    </row>
    <row r="44" spans="1:15" ht="15.75" thickBot="1" x14ac:dyDescent="0.3">
      <c r="A44" s="1637"/>
      <c r="B44" s="341" t="s">
        <v>195</v>
      </c>
      <c r="C44" s="188">
        <f>C42/12</f>
        <v>18640.083333333332</v>
      </c>
      <c r="D44" s="189">
        <f>ROUND(D43/160.33,2)</f>
        <v>142.78</v>
      </c>
      <c r="E44" s="371"/>
      <c r="F44" s="189">
        <f t="shared" ref="F44:O44" si="13">ROUND(F43/160.33,2)</f>
        <v>145.72999999999999</v>
      </c>
      <c r="G44" s="189">
        <f t="shared" si="13"/>
        <v>120.33</v>
      </c>
      <c r="H44" s="189">
        <f t="shared" si="13"/>
        <v>147.77000000000001</v>
      </c>
      <c r="I44" s="189">
        <f t="shared" si="13"/>
        <v>122.73</v>
      </c>
      <c r="J44" s="189">
        <f t="shared" si="13"/>
        <v>150.72</v>
      </c>
      <c r="K44" s="189">
        <f t="shared" si="13"/>
        <v>124.39</v>
      </c>
      <c r="L44" s="189">
        <f t="shared" si="13"/>
        <v>152.76</v>
      </c>
      <c r="M44" s="189">
        <f t="shared" si="13"/>
        <v>0</v>
      </c>
      <c r="N44" s="189">
        <f t="shared" si="13"/>
        <v>0</v>
      </c>
      <c r="O44" s="189">
        <f t="shared" si="13"/>
        <v>133.49</v>
      </c>
    </row>
    <row r="45" spans="1:15" x14ac:dyDescent="0.25">
      <c r="A45" s="1638">
        <v>14</v>
      </c>
      <c r="B45" s="339" t="s">
        <v>96</v>
      </c>
      <c r="C45" s="191">
        <v>227611</v>
      </c>
      <c r="D45" s="184">
        <f>ROUND((C45*(1+'Løntabel gældende fra'!$D$7%)),0)</f>
        <v>279522</v>
      </c>
      <c r="E45" s="192">
        <v>232351</v>
      </c>
      <c r="F45" s="193">
        <f>ROUND((E45*(1+'Løntabel gældende fra'!$D$7%)),0)</f>
        <v>285343</v>
      </c>
      <c r="G45" s="191">
        <v>235632</v>
      </c>
      <c r="H45" s="184">
        <f>ROUND((G45*(1+'Løntabel gældende fra'!$D$7%)),0)</f>
        <v>289372</v>
      </c>
      <c r="I45" s="192">
        <v>240371</v>
      </c>
      <c r="J45" s="193">
        <f>ROUND((I45*(1+'Løntabel gældende fra'!$D$7%)),0)</f>
        <v>295192</v>
      </c>
      <c r="K45" s="191">
        <v>243652</v>
      </c>
      <c r="L45" s="184">
        <f>ROUND((K45*(1+'Løntabel gældende fra'!$D$7%)),0)</f>
        <v>299221</v>
      </c>
      <c r="M45" s="379"/>
      <c r="N45" s="357">
        <v>212809.24</v>
      </c>
      <c r="O45" s="198">
        <f>ROUND(N45*(1+'Løntabel gældende fra'!$D$7%),2)</f>
        <v>261344</v>
      </c>
    </row>
    <row r="46" spans="1:15" x14ac:dyDescent="0.25">
      <c r="A46" s="1636"/>
      <c r="B46" s="361" t="s">
        <v>200</v>
      </c>
      <c r="C46" s="366"/>
      <c r="D46" s="373">
        <f>ROUND(D45/12,2)</f>
        <v>23293.5</v>
      </c>
      <c r="E46" s="370">
        <f>E45/12</f>
        <v>19362.583333333332</v>
      </c>
      <c r="F46" s="355">
        <f>ROUND(F45/12,2)</f>
        <v>23778.58</v>
      </c>
      <c r="G46" s="366">
        <f>G45/12</f>
        <v>19636</v>
      </c>
      <c r="H46" s="373">
        <f>ROUND(H45/12,2)</f>
        <v>24114.33</v>
      </c>
      <c r="I46" s="370">
        <f>I45/12</f>
        <v>20030.916666666668</v>
      </c>
      <c r="J46" s="355">
        <f>ROUND(J45/12,2)</f>
        <v>24599.33</v>
      </c>
      <c r="K46" s="366">
        <f>K45/12</f>
        <v>20304.333333333332</v>
      </c>
      <c r="L46" s="373">
        <f>ROUND(L45/12,2)</f>
        <v>24935.08</v>
      </c>
      <c r="M46" s="378"/>
      <c r="N46" s="356"/>
      <c r="O46" s="358">
        <f>ROUND(O45/12,2)</f>
        <v>21778.67</v>
      </c>
    </row>
    <row r="47" spans="1:15" ht="15.75" thickBot="1" x14ac:dyDescent="0.3">
      <c r="A47" s="1637"/>
      <c r="B47" s="341" t="s">
        <v>195</v>
      </c>
      <c r="C47" s="188">
        <f>C45/12</f>
        <v>18967.583333333332</v>
      </c>
      <c r="D47" s="189">
        <f>ROUND(D46/160.33,2)</f>
        <v>145.28</v>
      </c>
      <c r="E47" s="371"/>
      <c r="F47" s="189">
        <f t="shared" ref="F47:O47" si="14">ROUND(F46/160.33,2)</f>
        <v>148.31</v>
      </c>
      <c r="G47" s="189">
        <f t="shared" si="14"/>
        <v>122.47</v>
      </c>
      <c r="H47" s="189">
        <f t="shared" si="14"/>
        <v>150.4</v>
      </c>
      <c r="I47" s="189">
        <f t="shared" si="14"/>
        <v>124.94</v>
      </c>
      <c r="J47" s="189">
        <f t="shared" si="14"/>
        <v>153.43</v>
      </c>
      <c r="K47" s="189">
        <f t="shared" si="14"/>
        <v>126.64</v>
      </c>
      <c r="L47" s="189">
        <f t="shared" si="14"/>
        <v>155.52000000000001</v>
      </c>
      <c r="M47" s="189">
        <f t="shared" si="14"/>
        <v>0</v>
      </c>
      <c r="N47" s="189">
        <f t="shared" si="14"/>
        <v>0</v>
      </c>
      <c r="O47" s="189">
        <f t="shared" si="14"/>
        <v>135.84</v>
      </c>
    </row>
    <row r="48" spans="1:15" x14ac:dyDescent="0.25">
      <c r="A48" s="1638">
        <v>15</v>
      </c>
      <c r="B48" s="339" t="s">
        <v>96</v>
      </c>
      <c r="C48" s="191">
        <v>231649</v>
      </c>
      <c r="D48" s="184">
        <f>ROUND((C48*(1+'Løntabel gældende fra'!$D$7%)),0)</f>
        <v>284480</v>
      </c>
      <c r="E48" s="192">
        <v>236507</v>
      </c>
      <c r="F48" s="193">
        <f>ROUND((E48*(1+'Løntabel gældende fra'!$D$7%)),0)</f>
        <v>290446</v>
      </c>
      <c r="G48" s="191">
        <v>239870</v>
      </c>
      <c r="H48" s="184">
        <f>ROUND((G48*(1+'Løntabel gældende fra'!$D$7%)),0)</f>
        <v>294576</v>
      </c>
      <c r="I48" s="192">
        <v>244730</v>
      </c>
      <c r="J48" s="193">
        <f>ROUND((I48*(1+'Løntabel gældende fra'!$D$7%)),0)</f>
        <v>300545</v>
      </c>
      <c r="K48" s="191">
        <v>248094</v>
      </c>
      <c r="L48" s="184">
        <f>ROUND((K48*(1+'Løntabel gældende fra'!$D$7%)),0)</f>
        <v>304676</v>
      </c>
      <c r="M48" s="379"/>
      <c r="N48" s="357">
        <v>216591.65</v>
      </c>
      <c r="O48" s="198">
        <f>ROUND(N48*(1+'Løntabel gældende fra'!$D$7%),2)</f>
        <v>265989.06</v>
      </c>
    </row>
    <row r="49" spans="1:15" x14ac:dyDescent="0.25">
      <c r="A49" s="1636"/>
      <c r="B49" s="361" t="s">
        <v>97</v>
      </c>
      <c r="C49" s="366"/>
      <c r="D49" s="373">
        <f>ROUND(D48/12,2)</f>
        <v>23706.67</v>
      </c>
      <c r="E49" s="370">
        <f>E48/12</f>
        <v>19708.916666666668</v>
      </c>
      <c r="F49" s="355">
        <f>ROUND(F48/12,2)</f>
        <v>24203.83</v>
      </c>
      <c r="G49" s="366">
        <f>G48/12</f>
        <v>19989.166666666668</v>
      </c>
      <c r="H49" s="373">
        <f>ROUND(H48/12,2)</f>
        <v>24548</v>
      </c>
      <c r="I49" s="370">
        <f>I48/12</f>
        <v>20394.166666666668</v>
      </c>
      <c r="J49" s="355">
        <f>ROUND(J48/12,2)</f>
        <v>25045.42</v>
      </c>
      <c r="K49" s="366">
        <f>K48/12</f>
        <v>20674.5</v>
      </c>
      <c r="L49" s="373">
        <f>ROUND(L48/12,2)</f>
        <v>25389.67</v>
      </c>
      <c r="M49" s="378"/>
      <c r="N49" s="356"/>
      <c r="O49" s="358">
        <f>ROUND(O48/12,2)</f>
        <v>22165.759999999998</v>
      </c>
    </row>
    <row r="50" spans="1:15" ht="15.75" thickBot="1" x14ac:dyDescent="0.3">
      <c r="A50" s="1637"/>
      <c r="B50" s="341" t="s">
        <v>195</v>
      </c>
      <c r="C50" s="188">
        <f>C48/12</f>
        <v>19304.083333333332</v>
      </c>
      <c r="D50" s="189">
        <f>ROUND(D49/160.33,2)</f>
        <v>147.86000000000001</v>
      </c>
      <c r="E50" s="371"/>
      <c r="F50" s="189">
        <f t="shared" ref="F50:O50" si="15">ROUND(F49/160.33,2)</f>
        <v>150.96</v>
      </c>
      <c r="G50" s="189">
        <f t="shared" si="15"/>
        <v>124.68</v>
      </c>
      <c r="H50" s="189">
        <f t="shared" si="15"/>
        <v>153.11000000000001</v>
      </c>
      <c r="I50" s="189">
        <f t="shared" si="15"/>
        <v>127.2</v>
      </c>
      <c r="J50" s="189">
        <f t="shared" si="15"/>
        <v>156.21</v>
      </c>
      <c r="K50" s="189">
        <f t="shared" si="15"/>
        <v>128.94999999999999</v>
      </c>
      <c r="L50" s="189">
        <f t="shared" si="15"/>
        <v>158.36000000000001</v>
      </c>
      <c r="M50" s="189">
        <f t="shared" si="15"/>
        <v>0</v>
      </c>
      <c r="N50" s="189">
        <f t="shared" si="15"/>
        <v>0</v>
      </c>
      <c r="O50" s="189">
        <f t="shared" si="15"/>
        <v>138.25</v>
      </c>
    </row>
    <row r="51" spans="1:15" x14ac:dyDescent="0.25">
      <c r="A51" s="1638">
        <v>16</v>
      </c>
      <c r="B51" s="339" t="s">
        <v>96</v>
      </c>
      <c r="C51" s="191">
        <v>234743</v>
      </c>
      <c r="D51" s="184">
        <f>ROUND((C51*(1+'Løntabel gældende fra'!$D$7%)),0)</f>
        <v>288280</v>
      </c>
      <c r="E51" s="192">
        <v>239725</v>
      </c>
      <c r="F51" s="193">
        <f>ROUND((E51*(1+'Løntabel gældende fra'!$D$7%)),0)</f>
        <v>294398</v>
      </c>
      <c r="G51" s="191">
        <v>243175</v>
      </c>
      <c r="H51" s="184">
        <f>ROUND((G51*(1+'Løntabel gældende fra'!$D$7%)),0)</f>
        <v>298635</v>
      </c>
      <c r="I51" s="192">
        <v>248156</v>
      </c>
      <c r="J51" s="193">
        <f>ROUND((I51*(1+'Løntabel gældende fra'!$D$7%)),0)</f>
        <v>304752</v>
      </c>
      <c r="K51" s="191">
        <v>251606</v>
      </c>
      <c r="L51" s="184">
        <f>ROUND((K51*(1+'Løntabel gældende fra'!$D$7%)),0)</f>
        <v>308989</v>
      </c>
      <c r="M51" s="379"/>
      <c r="N51" s="357">
        <v>220480.52</v>
      </c>
      <c r="O51" s="198">
        <f>ROUND(N51*(1+'Løntabel gældende fra'!$D$7%),2)</f>
        <v>270764.84999999998</v>
      </c>
    </row>
    <row r="52" spans="1:15" x14ac:dyDescent="0.25">
      <c r="A52" s="1636"/>
      <c r="B52" s="361" t="s">
        <v>200</v>
      </c>
      <c r="C52" s="366"/>
      <c r="D52" s="373">
        <f>ROUND(D51/12,2)</f>
        <v>24023.33</v>
      </c>
      <c r="E52" s="370">
        <f>E51/12</f>
        <v>19977.083333333332</v>
      </c>
      <c r="F52" s="355">
        <f>ROUND(F51/12,2)</f>
        <v>24533.17</v>
      </c>
      <c r="G52" s="366">
        <f>G51/12</f>
        <v>20264.583333333332</v>
      </c>
      <c r="H52" s="373">
        <f>ROUND(H51/12,2)</f>
        <v>24886.25</v>
      </c>
      <c r="I52" s="370">
        <f>I51/12</f>
        <v>20679.666666666668</v>
      </c>
      <c r="J52" s="355">
        <f>ROUND(J51/12,2)</f>
        <v>25396</v>
      </c>
      <c r="K52" s="366">
        <f>K51/12</f>
        <v>20967.166666666668</v>
      </c>
      <c r="L52" s="373">
        <f>ROUND(L51/12,2)</f>
        <v>25749.08</v>
      </c>
      <c r="M52" s="378"/>
      <c r="N52" s="356"/>
      <c r="O52" s="358">
        <f>ROUND(O51/12,2)</f>
        <v>22563.74</v>
      </c>
    </row>
    <row r="53" spans="1:15" ht="15.75" thickBot="1" x14ac:dyDescent="0.3">
      <c r="A53" s="1637"/>
      <c r="B53" s="341" t="s">
        <v>195</v>
      </c>
      <c r="C53" s="188">
        <f>C51/12</f>
        <v>19561.916666666668</v>
      </c>
      <c r="D53" s="189">
        <f>ROUND(D52/160.33,2)</f>
        <v>149.84</v>
      </c>
      <c r="E53" s="371"/>
      <c r="F53" s="189">
        <f t="shared" ref="F53:O53" si="16">ROUND(F52/160.33,2)</f>
        <v>153.02000000000001</v>
      </c>
      <c r="G53" s="189">
        <f t="shared" si="16"/>
        <v>126.39</v>
      </c>
      <c r="H53" s="189">
        <f t="shared" si="16"/>
        <v>155.22</v>
      </c>
      <c r="I53" s="189">
        <f t="shared" si="16"/>
        <v>128.97999999999999</v>
      </c>
      <c r="J53" s="189">
        <f t="shared" si="16"/>
        <v>158.4</v>
      </c>
      <c r="K53" s="189">
        <f t="shared" si="16"/>
        <v>130.78</v>
      </c>
      <c r="L53" s="189">
        <f t="shared" si="16"/>
        <v>160.6</v>
      </c>
      <c r="M53" s="189">
        <f t="shared" si="16"/>
        <v>0</v>
      </c>
      <c r="N53" s="189">
        <f t="shared" si="16"/>
        <v>0</v>
      </c>
      <c r="O53" s="189">
        <f t="shared" si="16"/>
        <v>140.72999999999999</v>
      </c>
    </row>
    <row r="54" spans="1:15" x14ac:dyDescent="0.25">
      <c r="A54" s="1635">
        <v>17</v>
      </c>
      <c r="B54" s="182" t="s">
        <v>96</v>
      </c>
      <c r="C54" s="183">
        <v>239005</v>
      </c>
      <c r="D54" s="187">
        <f>ROUND((C54*(1+'Løntabel gældende fra'!$D$7%)),0)</f>
        <v>293514</v>
      </c>
      <c r="E54" s="185">
        <v>244114</v>
      </c>
      <c r="F54" s="186">
        <f>ROUND((E54*(1+'Løntabel gældende fra'!$D$7%)),0)</f>
        <v>299788</v>
      </c>
      <c r="G54" s="183">
        <v>247651</v>
      </c>
      <c r="H54" s="187">
        <f>ROUND((G54*(1+'Løntabel gældende fra'!$D$7%)),0)</f>
        <v>304132</v>
      </c>
      <c r="I54" s="185">
        <v>252759</v>
      </c>
      <c r="J54" s="186">
        <f>ROUND((I54*(1+'Løntabel gældende fra'!$D$7%)),0)</f>
        <v>310405</v>
      </c>
      <c r="K54" s="183">
        <v>256294</v>
      </c>
      <c r="L54" s="187">
        <f>ROUND((K54*(1+'Løntabel gældende fra'!$D$7%)),0)</f>
        <v>314746</v>
      </c>
      <c r="M54" s="380"/>
      <c r="N54" s="359">
        <v>224474.06</v>
      </c>
      <c r="O54" s="360">
        <f>ROUND(N54*(1+'Løntabel gældende fra'!$D$7%),2)</f>
        <v>275669.19</v>
      </c>
    </row>
    <row r="55" spans="1:15" x14ac:dyDescent="0.25">
      <c r="A55" s="1636"/>
      <c r="B55" s="361" t="s">
        <v>200</v>
      </c>
      <c r="C55" s="366"/>
      <c r="D55" s="373">
        <f>ROUND(D54/12,2)</f>
        <v>24459.5</v>
      </c>
      <c r="E55" s="370">
        <f>E54/12</f>
        <v>20342.833333333332</v>
      </c>
      <c r="F55" s="355">
        <f>ROUND(F54/12,2)</f>
        <v>24982.33</v>
      </c>
      <c r="G55" s="366">
        <f>G54/12</f>
        <v>20637.583333333332</v>
      </c>
      <c r="H55" s="373">
        <f>ROUND(H54/12,2)</f>
        <v>25344.33</v>
      </c>
      <c r="I55" s="370">
        <f>I54/12</f>
        <v>21063.25</v>
      </c>
      <c r="J55" s="355">
        <f>ROUND(J54/12,2)</f>
        <v>25867.08</v>
      </c>
      <c r="K55" s="366">
        <f>K54/12</f>
        <v>21357.833333333332</v>
      </c>
      <c r="L55" s="373">
        <f>ROUND(L54/12,2)</f>
        <v>26228.83</v>
      </c>
      <c r="M55" s="378"/>
      <c r="N55" s="356"/>
      <c r="O55" s="358">
        <f>ROUND(O54/12,2)</f>
        <v>22972.43</v>
      </c>
    </row>
    <row r="56" spans="1:15" ht="15.75" thickBot="1" x14ac:dyDescent="0.3">
      <c r="A56" s="1639"/>
      <c r="B56" s="362" t="s">
        <v>195</v>
      </c>
      <c r="C56" s="369">
        <f>C54/12</f>
        <v>19917.083333333332</v>
      </c>
      <c r="D56" s="189">
        <f>ROUND(D55/160.33,2)</f>
        <v>152.56</v>
      </c>
      <c r="E56" s="372"/>
      <c r="F56" s="189">
        <f t="shared" ref="F56:O56" si="17">ROUND(F55/160.33,2)</f>
        <v>155.82</v>
      </c>
      <c r="G56" s="189">
        <f t="shared" si="17"/>
        <v>128.72</v>
      </c>
      <c r="H56" s="189">
        <f t="shared" si="17"/>
        <v>158.08000000000001</v>
      </c>
      <c r="I56" s="189">
        <f t="shared" si="17"/>
        <v>131.37</v>
      </c>
      <c r="J56" s="189">
        <f t="shared" si="17"/>
        <v>161.34</v>
      </c>
      <c r="K56" s="189">
        <f t="shared" si="17"/>
        <v>133.21</v>
      </c>
      <c r="L56" s="189">
        <f t="shared" si="17"/>
        <v>163.59</v>
      </c>
      <c r="M56" s="189">
        <f t="shared" si="17"/>
        <v>0</v>
      </c>
      <c r="N56" s="189">
        <f t="shared" si="17"/>
        <v>0</v>
      </c>
      <c r="O56" s="189">
        <f t="shared" si="17"/>
        <v>143.28</v>
      </c>
    </row>
    <row r="57" spans="1:15" x14ac:dyDescent="0.25">
      <c r="A57" s="1638">
        <v>18</v>
      </c>
      <c r="B57" s="339" t="s">
        <v>96</v>
      </c>
      <c r="C57" s="191">
        <v>243387</v>
      </c>
      <c r="D57" s="184">
        <f>ROUND((C57*(1+'Løntabel gældende fra'!$D$7%)),0)</f>
        <v>298896</v>
      </c>
      <c r="E57" s="192">
        <v>248626</v>
      </c>
      <c r="F57" s="193">
        <f>ROUND((E57*(1+'Løntabel gældende fra'!$D$7%)),0)</f>
        <v>305329</v>
      </c>
      <c r="G57" s="191">
        <v>252252</v>
      </c>
      <c r="H57" s="184">
        <f>ROUND((G57*(1+'Løntabel gældende fra'!$D$7%)),0)</f>
        <v>309782</v>
      </c>
      <c r="I57" s="192">
        <v>257490</v>
      </c>
      <c r="J57" s="193">
        <f>ROUND((I57*(1+'Løntabel gældende fra'!$D$7%)),0)</f>
        <v>316215</v>
      </c>
      <c r="K57" s="191">
        <v>261115</v>
      </c>
      <c r="L57" s="184">
        <f>ROUND((K57*(1+'Løntabel gældende fra'!$D$7%)),0)</f>
        <v>320667</v>
      </c>
      <c r="M57" s="379"/>
      <c r="N57" s="357">
        <v>228579.5</v>
      </c>
      <c r="O57" s="198">
        <f>ROUND(N57*(1+'Løntabel gældende fra'!$D$7%),2)</f>
        <v>280710.94</v>
      </c>
    </row>
    <row r="58" spans="1:15" x14ac:dyDescent="0.25">
      <c r="A58" s="1636"/>
      <c r="B58" s="361" t="s">
        <v>97</v>
      </c>
      <c r="C58" s="366"/>
      <c r="D58" s="373">
        <f>ROUND(D57/12,2)</f>
        <v>24908</v>
      </c>
      <c r="E58" s="370">
        <f>E57/12</f>
        <v>20718.833333333332</v>
      </c>
      <c r="F58" s="355">
        <f>ROUND(F57/12,2)</f>
        <v>25444.080000000002</v>
      </c>
      <c r="G58" s="366">
        <f>G57/12</f>
        <v>21021</v>
      </c>
      <c r="H58" s="373">
        <f>ROUND(H57/12,2)</f>
        <v>25815.17</v>
      </c>
      <c r="I58" s="370">
        <f>I57/12</f>
        <v>21457.5</v>
      </c>
      <c r="J58" s="355">
        <f>ROUND(J57/12,2)</f>
        <v>26351.25</v>
      </c>
      <c r="K58" s="366">
        <f>K57/12</f>
        <v>21759.583333333332</v>
      </c>
      <c r="L58" s="373">
        <f>ROUND(L57/12,2)</f>
        <v>26722.25</v>
      </c>
      <c r="M58" s="378"/>
      <c r="N58" s="356"/>
      <c r="O58" s="358">
        <f>ROUND(O57/12,2)</f>
        <v>23392.58</v>
      </c>
    </row>
    <row r="59" spans="1:15" ht="15.75" thickBot="1" x14ac:dyDescent="0.3">
      <c r="A59" s="1637"/>
      <c r="B59" s="341" t="s">
        <v>195</v>
      </c>
      <c r="C59" s="188">
        <f>C57/12</f>
        <v>20282.25</v>
      </c>
      <c r="D59" s="189">
        <f>ROUND(D58/160.33,2)</f>
        <v>155.35</v>
      </c>
      <c r="E59" s="371"/>
      <c r="F59" s="189">
        <f t="shared" ref="F59:O59" si="18">ROUND(F58/160.33,2)</f>
        <v>158.69999999999999</v>
      </c>
      <c r="G59" s="189">
        <f t="shared" si="18"/>
        <v>131.11000000000001</v>
      </c>
      <c r="H59" s="189">
        <f t="shared" si="18"/>
        <v>161.01</v>
      </c>
      <c r="I59" s="189">
        <f t="shared" si="18"/>
        <v>133.83000000000001</v>
      </c>
      <c r="J59" s="189">
        <f t="shared" si="18"/>
        <v>164.36</v>
      </c>
      <c r="K59" s="189">
        <f t="shared" si="18"/>
        <v>135.72</v>
      </c>
      <c r="L59" s="189">
        <f t="shared" si="18"/>
        <v>166.67</v>
      </c>
      <c r="M59" s="189">
        <f t="shared" si="18"/>
        <v>0</v>
      </c>
      <c r="N59" s="189">
        <f t="shared" si="18"/>
        <v>0</v>
      </c>
      <c r="O59" s="189">
        <f t="shared" si="18"/>
        <v>145.9</v>
      </c>
    </row>
    <row r="60" spans="1:15" x14ac:dyDescent="0.25">
      <c r="A60" s="1635">
        <v>19</v>
      </c>
      <c r="B60" s="182" t="s">
        <v>96</v>
      </c>
      <c r="C60" s="183">
        <v>246657</v>
      </c>
      <c r="D60" s="187">
        <f>ROUND((C60*(1+'Løntabel gældende fra'!$D$7%)),0)</f>
        <v>302911</v>
      </c>
      <c r="E60" s="185">
        <v>252029</v>
      </c>
      <c r="F60" s="186">
        <f>ROUND((E60*(1+'Løntabel gældende fra'!$D$7%)),0)</f>
        <v>309508</v>
      </c>
      <c r="G60" s="183">
        <v>255746</v>
      </c>
      <c r="H60" s="187">
        <f>ROUND((G60*(1+'Løntabel gældende fra'!$D$7%)),0)</f>
        <v>314073</v>
      </c>
      <c r="I60" s="185">
        <v>261119</v>
      </c>
      <c r="J60" s="186">
        <f>ROUND((I60*(1+'Løntabel gældende fra'!$D$7%)),0)</f>
        <v>320672</v>
      </c>
      <c r="K60" s="183">
        <v>264839</v>
      </c>
      <c r="L60" s="187">
        <f>ROUND((K60*(1+'Løntabel gældende fra'!$D$7%)),0)</f>
        <v>325240</v>
      </c>
      <c r="M60" s="380"/>
      <c r="N60" s="359">
        <v>232796.81</v>
      </c>
      <c r="O60" s="360">
        <f>ROUND(N60*(1+'Løntabel gældende fra'!$D$7%),2)</f>
        <v>285890.08</v>
      </c>
    </row>
    <row r="61" spans="1:15" x14ac:dyDescent="0.25">
      <c r="A61" s="1636"/>
      <c r="B61" s="361" t="s">
        <v>200</v>
      </c>
      <c r="C61" s="366"/>
      <c r="D61" s="373">
        <f>ROUND(D60/12,2)</f>
        <v>25242.58</v>
      </c>
      <c r="E61" s="370">
        <f>E60/12</f>
        <v>21002.416666666668</v>
      </c>
      <c r="F61" s="355">
        <f>ROUND(F60/12,2)</f>
        <v>25792.33</v>
      </c>
      <c r="G61" s="366">
        <f>G60/12</f>
        <v>21312.166666666668</v>
      </c>
      <c r="H61" s="373">
        <f>ROUND(H60/12,2)</f>
        <v>26172.75</v>
      </c>
      <c r="I61" s="370">
        <f>I60/12</f>
        <v>21759.916666666668</v>
      </c>
      <c r="J61" s="355">
        <f>ROUND(J60/12,2)</f>
        <v>26722.67</v>
      </c>
      <c r="K61" s="366">
        <f>K60/12</f>
        <v>22069.916666666668</v>
      </c>
      <c r="L61" s="373">
        <f>ROUND(L60/12,2)</f>
        <v>27103.33</v>
      </c>
      <c r="M61" s="378"/>
      <c r="N61" s="356"/>
      <c r="O61" s="358">
        <f>ROUND(O60/12,2)</f>
        <v>23824.17</v>
      </c>
    </row>
    <row r="62" spans="1:15" ht="15.75" thickBot="1" x14ac:dyDescent="0.3">
      <c r="A62" s="1639"/>
      <c r="B62" s="362" t="s">
        <v>195</v>
      </c>
      <c r="C62" s="369">
        <f>C60/12</f>
        <v>20554.75</v>
      </c>
      <c r="D62" s="189">
        <f>ROUND(D61/160.33,2)</f>
        <v>157.44</v>
      </c>
      <c r="E62" s="372"/>
      <c r="F62" s="189">
        <f t="shared" ref="F62:O62" si="19">ROUND(F61/160.33,2)</f>
        <v>160.87</v>
      </c>
      <c r="G62" s="189">
        <f t="shared" si="19"/>
        <v>132.93</v>
      </c>
      <c r="H62" s="189">
        <f t="shared" si="19"/>
        <v>163.24</v>
      </c>
      <c r="I62" s="189">
        <f t="shared" si="19"/>
        <v>135.72</v>
      </c>
      <c r="J62" s="189">
        <f t="shared" si="19"/>
        <v>166.67</v>
      </c>
      <c r="K62" s="189">
        <f t="shared" si="19"/>
        <v>137.65</v>
      </c>
      <c r="L62" s="189">
        <f t="shared" si="19"/>
        <v>169.05</v>
      </c>
      <c r="M62" s="189">
        <f t="shared" si="19"/>
        <v>0</v>
      </c>
      <c r="N62" s="189">
        <f t="shared" si="19"/>
        <v>0</v>
      </c>
      <c r="O62" s="189">
        <f t="shared" si="19"/>
        <v>148.59</v>
      </c>
    </row>
    <row r="63" spans="1:15" x14ac:dyDescent="0.25">
      <c r="A63" s="1638">
        <v>20</v>
      </c>
      <c r="B63" s="339" t="s">
        <v>96</v>
      </c>
      <c r="C63" s="191">
        <v>250053</v>
      </c>
      <c r="D63" s="184">
        <f>ROUND((C63*(1+'Løntabel gældende fra'!$D$7%)),0)</f>
        <v>307082</v>
      </c>
      <c r="E63" s="192">
        <v>255560</v>
      </c>
      <c r="F63" s="193">
        <f>ROUND((E63*(1+'Løntabel gældende fra'!$D$7%)),0)</f>
        <v>313845</v>
      </c>
      <c r="G63" s="191">
        <v>259374</v>
      </c>
      <c r="H63" s="184">
        <f>ROUND((G63*(1+'Løntabel gældende fra'!$D$7%)),0)</f>
        <v>318529</v>
      </c>
      <c r="I63" s="192">
        <v>264882</v>
      </c>
      <c r="J63" s="193">
        <f>ROUND((I63*(1+'Løntabel gældende fra'!$D$7%)),0)</f>
        <v>325293</v>
      </c>
      <c r="K63" s="191">
        <v>268694</v>
      </c>
      <c r="L63" s="184">
        <f>ROUND((K63*(1+'Løntabel gældende fra'!$D$7%)),0)</f>
        <v>329974</v>
      </c>
      <c r="M63" s="379"/>
      <c r="N63" s="357">
        <v>237129.61</v>
      </c>
      <c r="O63" s="198">
        <f>ROUND(N63*(1+'Løntabel gældende fra'!$D$7%),2)</f>
        <v>291211.05</v>
      </c>
    </row>
    <row r="64" spans="1:15" x14ac:dyDescent="0.25">
      <c r="A64" s="1636"/>
      <c r="B64" s="361" t="s">
        <v>97</v>
      </c>
      <c r="C64" s="366"/>
      <c r="D64" s="373">
        <f>ROUND(D63/12,2)</f>
        <v>25590.17</v>
      </c>
      <c r="E64" s="370">
        <f>E63/12</f>
        <v>21296.666666666668</v>
      </c>
      <c r="F64" s="355">
        <f>ROUND(F63/12,2)</f>
        <v>26153.75</v>
      </c>
      <c r="G64" s="366">
        <f>G63/12</f>
        <v>21614.5</v>
      </c>
      <c r="H64" s="373">
        <f>ROUND(H63/12,2)</f>
        <v>26544.080000000002</v>
      </c>
      <c r="I64" s="370">
        <f>I63/12</f>
        <v>22073.5</v>
      </c>
      <c r="J64" s="355">
        <f>ROUND(J63/12,2)</f>
        <v>27107.75</v>
      </c>
      <c r="K64" s="366">
        <f>K63/12</f>
        <v>22391.166666666668</v>
      </c>
      <c r="L64" s="373">
        <f>ROUND(L63/12,2)</f>
        <v>27497.83</v>
      </c>
      <c r="M64" s="378"/>
      <c r="N64" s="356"/>
      <c r="O64" s="358">
        <f>ROUND(O63/12,2)</f>
        <v>24267.59</v>
      </c>
    </row>
    <row r="65" spans="1:15" ht="15.75" thickBot="1" x14ac:dyDescent="0.3">
      <c r="A65" s="1637"/>
      <c r="B65" s="341" t="s">
        <v>195</v>
      </c>
      <c r="C65" s="188">
        <f>C63/12</f>
        <v>20837.75</v>
      </c>
      <c r="D65" s="189">
        <f>ROUND(D64/160.33,2)</f>
        <v>159.61000000000001</v>
      </c>
      <c r="E65" s="371"/>
      <c r="F65" s="189">
        <f t="shared" ref="F65:O65" si="20">ROUND(F64/160.33,2)</f>
        <v>163.12</v>
      </c>
      <c r="G65" s="189">
        <f t="shared" si="20"/>
        <v>134.81</v>
      </c>
      <c r="H65" s="189">
        <f t="shared" si="20"/>
        <v>165.56</v>
      </c>
      <c r="I65" s="189">
        <f t="shared" si="20"/>
        <v>137.68</v>
      </c>
      <c r="J65" s="189">
        <f t="shared" si="20"/>
        <v>169.07</v>
      </c>
      <c r="K65" s="189">
        <f t="shared" si="20"/>
        <v>139.66</v>
      </c>
      <c r="L65" s="189">
        <f t="shared" si="20"/>
        <v>171.51</v>
      </c>
      <c r="M65" s="189">
        <f t="shared" si="20"/>
        <v>0</v>
      </c>
      <c r="N65" s="189">
        <f t="shared" si="20"/>
        <v>0</v>
      </c>
      <c r="O65" s="189">
        <f t="shared" si="20"/>
        <v>151.36000000000001</v>
      </c>
    </row>
    <row r="66" spans="1:15" x14ac:dyDescent="0.25">
      <c r="A66" s="1635">
        <v>21</v>
      </c>
      <c r="B66" s="182" t="s">
        <v>96</v>
      </c>
      <c r="C66" s="183">
        <v>254192</v>
      </c>
      <c r="D66" s="187">
        <f>ROUND((C66*(1+'Løntabel gældende fra'!$D$7%)),0)</f>
        <v>312165</v>
      </c>
      <c r="E66" s="185">
        <v>259841</v>
      </c>
      <c r="F66" s="186">
        <f>ROUND((E66*(1+'Løntabel gældende fra'!$D$7%)),0)</f>
        <v>319102</v>
      </c>
      <c r="G66" s="183">
        <v>263752</v>
      </c>
      <c r="H66" s="187">
        <f>ROUND((G66*(1+'Løntabel gældende fra'!$D$7%)),0)</f>
        <v>323905</v>
      </c>
      <c r="I66" s="185">
        <v>269401</v>
      </c>
      <c r="J66" s="186">
        <f>ROUND((I66*(1+'Løntabel gældende fra'!$D$7%)),0)</f>
        <v>330842</v>
      </c>
      <c r="K66" s="183">
        <v>273312</v>
      </c>
      <c r="L66" s="187">
        <f>ROUND((K66*(1+'Løntabel gældende fra'!$D$7%)),0)</f>
        <v>335645</v>
      </c>
      <c r="M66" s="380"/>
      <c r="N66" s="359">
        <v>241583.32</v>
      </c>
      <c r="O66" s="360">
        <f>ROUND(N66*(1+'Løntabel gældende fra'!$D$7%),2)</f>
        <v>296680.5</v>
      </c>
    </row>
    <row r="67" spans="1:15" x14ac:dyDescent="0.25">
      <c r="A67" s="1636"/>
      <c r="B67" s="361" t="s">
        <v>200</v>
      </c>
      <c r="C67" s="366"/>
      <c r="D67" s="373">
        <f>ROUND(D66/12,2)</f>
        <v>26013.75</v>
      </c>
      <c r="E67" s="370">
        <f>E66/12</f>
        <v>21653.416666666668</v>
      </c>
      <c r="F67" s="355">
        <f>ROUND(F66/12,2)</f>
        <v>26591.83</v>
      </c>
      <c r="G67" s="366">
        <f>G66/12</f>
        <v>21979.333333333332</v>
      </c>
      <c r="H67" s="373">
        <f>ROUND(H66/12,2)</f>
        <v>26992.080000000002</v>
      </c>
      <c r="I67" s="370">
        <f>I66/12</f>
        <v>22450.083333333332</v>
      </c>
      <c r="J67" s="355">
        <f>ROUND(J66/12,2)</f>
        <v>27570.17</v>
      </c>
      <c r="K67" s="366">
        <f>K66/12</f>
        <v>22776</v>
      </c>
      <c r="L67" s="373">
        <f>ROUND(L66/12,2)</f>
        <v>27970.42</v>
      </c>
      <c r="M67" s="378"/>
      <c r="N67" s="356"/>
      <c r="O67" s="358">
        <f>ROUND(O66/12,2)</f>
        <v>24723.38</v>
      </c>
    </row>
    <row r="68" spans="1:15" ht="15.75" thickBot="1" x14ac:dyDescent="0.3">
      <c r="A68" s="1639"/>
      <c r="B68" s="362" t="s">
        <v>195</v>
      </c>
      <c r="C68" s="369">
        <f>C66/12</f>
        <v>21182.666666666668</v>
      </c>
      <c r="D68" s="189">
        <f>ROUND(D67/160.33,2)</f>
        <v>162.25</v>
      </c>
      <c r="E68" s="372"/>
      <c r="F68" s="189">
        <f t="shared" ref="F68:O68" si="21">ROUND(F67/160.33,2)</f>
        <v>165.86</v>
      </c>
      <c r="G68" s="189">
        <f t="shared" si="21"/>
        <v>137.09</v>
      </c>
      <c r="H68" s="189">
        <f t="shared" si="21"/>
        <v>168.35</v>
      </c>
      <c r="I68" s="189">
        <f t="shared" si="21"/>
        <v>140.02000000000001</v>
      </c>
      <c r="J68" s="189">
        <f t="shared" si="21"/>
        <v>171.96</v>
      </c>
      <c r="K68" s="189">
        <f t="shared" si="21"/>
        <v>142.06</v>
      </c>
      <c r="L68" s="189">
        <f t="shared" si="21"/>
        <v>174.46</v>
      </c>
      <c r="M68" s="189">
        <f t="shared" si="21"/>
        <v>0</v>
      </c>
      <c r="N68" s="189">
        <f t="shared" si="21"/>
        <v>0</v>
      </c>
      <c r="O68" s="189">
        <f t="shared" si="21"/>
        <v>154.19999999999999</v>
      </c>
    </row>
    <row r="69" spans="1:15" x14ac:dyDescent="0.25">
      <c r="A69" s="1638">
        <v>22</v>
      </c>
      <c r="B69" s="195" t="s">
        <v>96</v>
      </c>
      <c r="C69" s="191">
        <v>258027</v>
      </c>
      <c r="D69" s="184">
        <f>ROUND((C69*(1+'Løntabel gældende fra'!$D$7%)),0)</f>
        <v>316874</v>
      </c>
      <c r="E69" s="192">
        <v>263676</v>
      </c>
      <c r="F69" s="193">
        <f>ROUND((E69*(1+'Løntabel gældende fra'!$D$7%)),0)</f>
        <v>323812</v>
      </c>
      <c r="G69" s="191">
        <v>267587</v>
      </c>
      <c r="H69" s="184">
        <f>ROUND((G69*(1+'Løntabel gældende fra'!$D$7%)),0)</f>
        <v>328615</v>
      </c>
      <c r="I69" s="192">
        <v>273236</v>
      </c>
      <c r="J69" s="193">
        <f>ROUND((I69*(1+'Løntabel gældende fra'!$D$7%)),0)</f>
        <v>335552</v>
      </c>
      <c r="K69" s="191">
        <v>277147</v>
      </c>
      <c r="L69" s="184">
        <f>ROUND((K69*(1+'Løntabel gældende fra'!$D$7%)),0)</f>
        <v>340355</v>
      </c>
      <c r="M69" s="379"/>
      <c r="N69" s="357">
        <v>246033.33</v>
      </c>
      <c r="O69" s="198">
        <f>ROUND(N69*(1+'Løntabel gældende fra'!$D$7%),2)</f>
        <v>302145.40999999997</v>
      </c>
    </row>
    <row r="70" spans="1:15" x14ac:dyDescent="0.25">
      <c r="A70" s="1636"/>
      <c r="B70" s="363" t="s">
        <v>200</v>
      </c>
      <c r="C70" s="366"/>
      <c r="D70" s="373">
        <f>ROUND(D69/12,2)</f>
        <v>26406.17</v>
      </c>
      <c r="E70" s="370">
        <f>E69/12</f>
        <v>21973</v>
      </c>
      <c r="F70" s="355">
        <f>ROUND(F69/12,2)</f>
        <v>26984.33</v>
      </c>
      <c r="G70" s="366">
        <f>G69/12</f>
        <v>22298.916666666668</v>
      </c>
      <c r="H70" s="373">
        <f>ROUND(H69/12,2)</f>
        <v>27384.58</v>
      </c>
      <c r="I70" s="370">
        <f>I69/12</f>
        <v>22769.666666666668</v>
      </c>
      <c r="J70" s="355">
        <f>ROUND(J69/12,2)</f>
        <v>27962.67</v>
      </c>
      <c r="K70" s="366">
        <f>K69/12</f>
        <v>23095.583333333332</v>
      </c>
      <c r="L70" s="373">
        <f>ROUND(L69/12,2)</f>
        <v>28362.92</v>
      </c>
      <c r="M70" s="378"/>
      <c r="N70" s="356"/>
      <c r="O70" s="358">
        <f>ROUND(O69/12,2)</f>
        <v>25178.78</v>
      </c>
    </row>
    <row r="71" spans="1:15" ht="15.75" thickBot="1" x14ac:dyDescent="0.3">
      <c r="A71" s="1637"/>
      <c r="B71" s="364" t="s">
        <v>195</v>
      </c>
      <c r="C71" s="188">
        <v>262137</v>
      </c>
      <c r="D71" s="189">
        <f>ROUND(D70/160.33,2)</f>
        <v>164.7</v>
      </c>
      <c r="E71" s="371"/>
      <c r="F71" s="189">
        <f t="shared" ref="F71:O71" si="22">ROUND(F70/160.33,2)</f>
        <v>168.3</v>
      </c>
      <c r="G71" s="189">
        <f t="shared" si="22"/>
        <v>139.08000000000001</v>
      </c>
      <c r="H71" s="189">
        <f t="shared" si="22"/>
        <v>170.8</v>
      </c>
      <c r="I71" s="189">
        <f t="shared" si="22"/>
        <v>142.02000000000001</v>
      </c>
      <c r="J71" s="189">
        <f t="shared" si="22"/>
        <v>174.41</v>
      </c>
      <c r="K71" s="189">
        <f t="shared" si="22"/>
        <v>144.05000000000001</v>
      </c>
      <c r="L71" s="189">
        <f t="shared" si="22"/>
        <v>176.9</v>
      </c>
      <c r="M71" s="189">
        <f t="shared" si="22"/>
        <v>0</v>
      </c>
      <c r="N71" s="189">
        <f t="shared" si="22"/>
        <v>0</v>
      </c>
      <c r="O71" s="189">
        <f t="shared" si="22"/>
        <v>157.04</v>
      </c>
    </row>
    <row r="72" spans="1:15" x14ac:dyDescent="0.25">
      <c r="A72" s="1635">
        <v>23</v>
      </c>
      <c r="B72" s="194" t="s">
        <v>96</v>
      </c>
      <c r="C72" s="183">
        <v>262137</v>
      </c>
      <c r="D72" s="187">
        <f>ROUND((C72*(1+'Løntabel gældende fra'!$D$7%)),0)</f>
        <v>321922</v>
      </c>
      <c r="E72" s="185">
        <v>267629</v>
      </c>
      <c r="F72" s="186">
        <f>ROUND((E72*(1+'Løntabel gældende fra'!$D$7%)),0)</f>
        <v>328666</v>
      </c>
      <c r="G72" s="183">
        <v>271434</v>
      </c>
      <c r="H72" s="187">
        <f>ROUND((G72*(1+'Løntabel gældende fra'!$D$7%)),0)</f>
        <v>333339</v>
      </c>
      <c r="I72" s="185">
        <v>276928</v>
      </c>
      <c r="J72" s="186">
        <f>ROUND((I72*(1+'Løntabel gældende fra'!$D$7%)),0)</f>
        <v>340086</v>
      </c>
      <c r="K72" s="183">
        <v>280730</v>
      </c>
      <c r="L72" s="187">
        <f>ROUND((K72*(1+'Løntabel gældende fra'!$D$7%)),0)</f>
        <v>344755</v>
      </c>
      <c r="M72" s="380"/>
      <c r="N72" s="359">
        <v>250472.55</v>
      </c>
      <c r="O72" s="360">
        <f>ROUND(N72*(1+'Løntabel gældende fra'!$D$7%),2)</f>
        <v>307597.07</v>
      </c>
    </row>
    <row r="73" spans="1:15" x14ac:dyDescent="0.25">
      <c r="A73" s="1636"/>
      <c r="B73" s="363" t="s">
        <v>200</v>
      </c>
      <c r="C73" s="366"/>
      <c r="D73" s="373">
        <f>ROUND(D72/12,2)</f>
        <v>26826.83</v>
      </c>
      <c r="E73" s="370">
        <f>E72/12</f>
        <v>22302.416666666668</v>
      </c>
      <c r="F73" s="355">
        <f>ROUND(F72/12,2)</f>
        <v>27388.83</v>
      </c>
      <c r="G73" s="366">
        <f>G72/12</f>
        <v>22619.5</v>
      </c>
      <c r="H73" s="373">
        <f>ROUND(H72/12,2)</f>
        <v>27778.25</v>
      </c>
      <c r="I73" s="370">
        <f>I72/12</f>
        <v>23077.333333333332</v>
      </c>
      <c r="J73" s="355">
        <f>ROUND(J72/12,2)</f>
        <v>28340.5</v>
      </c>
      <c r="K73" s="366">
        <f>K72/12</f>
        <v>23394.166666666668</v>
      </c>
      <c r="L73" s="373">
        <f>ROUND(L72/12,2)</f>
        <v>28729.58</v>
      </c>
      <c r="M73" s="378"/>
      <c r="N73" s="356"/>
      <c r="O73" s="358">
        <f>ROUND(O72/12,2)</f>
        <v>25633.09</v>
      </c>
    </row>
    <row r="74" spans="1:15" ht="15.75" thickBot="1" x14ac:dyDescent="0.3">
      <c r="A74" s="1639"/>
      <c r="B74" s="365" t="s">
        <v>195</v>
      </c>
      <c r="C74" s="369">
        <f>C72/12</f>
        <v>21844.75</v>
      </c>
      <c r="D74" s="189">
        <f>ROUND(D73/160.33,2)</f>
        <v>167.32</v>
      </c>
      <c r="E74" s="372"/>
      <c r="F74" s="189">
        <f t="shared" ref="F74:O74" si="23">ROUND(F73/160.33,2)</f>
        <v>170.83</v>
      </c>
      <c r="G74" s="189">
        <f t="shared" si="23"/>
        <v>141.08000000000001</v>
      </c>
      <c r="H74" s="189">
        <f t="shared" si="23"/>
        <v>173.26</v>
      </c>
      <c r="I74" s="189">
        <f t="shared" si="23"/>
        <v>143.94</v>
      </c>
      <c r="J74" s="189">
        <f t="shared" si="23"/>
        <v>176.76</v>
      </c>
      <c r="K74" s="189">
        <f t="shared" si="23"/>
        <v>145.91</v>
      </c>
      <c r="L74" s="189">
        <f t="shared" si="23"/>
        <v>179.19</v>
      </c>
      <c r="M74" s="189">
        <f t="shared" si="23"/>
        <v>0</v>
      </c>
      <c r="N74" s="189">
        <f t="shared" si="23"/>
        <v>0</v>
      </c>
      <c r="O74" s="189">
        <f t="shared" si="23"/>
        <v>159.88</v>
      </c>
    </row>
    <row r="75" spans="1:15" x14ac:dyDescent="0.25">
      <c r="A75" s="1638">
        <v>24</v>
      </c>
      <c r="B75" s="195" t="s">
        <v>96</v>
      </c>
      <c r="C75" s="191">
        <v>266372</v>
      </c>
      <c r="D75" s="184">
        <f>ROUND((C75*(1+'Løntabel gældende fra'!$D$7%)),0)</f>
        <v>327123</v>
      </c>
      <c r="E75" s="192">
        <v>271710</v>
      </c>
      <c r="F75" s="193">
        <f>ROUND((E75*(1+'Løntabel gældende fra'!$D$7%)),0)</f>
        <v>333678</v>
      </c>
      <c r="G75" s="191">
        <v>275406</v>
      </c>
      <c r="H75" s="184">
        <f>ROUND((G75*(1+'Løntabel gældende fra'!$D$7%)),0)</f>
        <v>338217</v>
      </c>
      <c r="I75" s="192">
        <v>280745</v>
      </c>
      <c r="J75" s="193">
        <f>ROUND((I75*(1+'Løntabel gældende fra'!$D$7%)),0)</f>
        <v>344774</v>
      </c>
      <c r="K75" s="191">
        <v>284441</v>
      </c>
      <c r="L75" s="184">
        <f>ROUND((K75*(1+'Løntabel gældende fra'!$D$7%)),0)</f>
        <v>349313</v>
      </c>
      <c r="M75" s="379"/>
      <c r="N75" s="357">
        <v>255037.97</v>
      </c>
      <c r="O75" s="198">
        <f>ROUND(N75*(1+'Løntabel gældende fra'!$D$7%),2)</f>
        <v>313203.71000000002</v>
      </c>
    </row>
    <row r="76" spans="1:15" x14ac:dyDescent="0.25">
      <c r="A76" s="1636"/>
      <c r="B76" s="363" t="s">
        <v>200</v>
      </c>
      <c r="C76" s="366"/>
      <c r="D76" s="373">
        <f>ROUND(D75/12,2)</f>
        <v>27260.25</v>
      </c>
      <c r="E76" s="370">
        <f>E75/12</f>
        <v>22642.5</v>
      </c>
      <c r="F76" s="355">
        <f>ROUND(F75/12,2)</f>
        <v>27806.5</v>
      </c>
      <c r="G76" s="366">
        <f>G75/12</f>
        <v>22950.5</v>
      </c>
      <c r="H76" s="373">
        <f>ROUND(H75/12,2)</f>
        <v>28184.75</v>
      </c>
      <c r="I76" s="370">
        <f>I75/12</f>
        <v>23395.416666666668</v>
      </c>
      <c r="J76" s="355">
        <f>ROUND(J75/12,2)</f>
        <v>28731.17</v>
      </c>
      <c r="K76" s="366">
        <f>K75/12</f>
        <v>23703.416666666668</v>
      </c>
      <c r="L76" s="373">
        <f>ROUND(L75/12,2)</f>
        <v>29109.42</v>
      </c>
      <c r="M76" s="378"/>
      <c r="N76" s="356"/>
      <c r="O76" s="358">
        <f>ROUND(O75/12,2)</f>
        <v>26100.31</v>
      </c>
    </row>
    <row r="77" spans="1:15" ht="15.75" thickBot="1" x14ac:dyDescent="0.3">
      <c r="A77" s="1637"/>
      <c r="B77" s="364" t="s">
        <v>195</v>
      </c>
      <c r="C77" s="188">
        <f>C75/12</f>
        <v>22197.666666666668</v>
      </c>
      <c r="D77" s="189">
        <f>ROUND(D76/160.33,2)</f>
        <v>170.03</v>
      </c>
      <c r="E77" s="371"/>
      <c r="F77" s="189">
        <f t="shared" ref="F77:O77" si="24">ROUND(F76/160.33,2)</f>
        <v>173.43</v>
      </c>
      <c r="G77" s="189">
        <f t="shared" si="24"/>
        <v>143.15</v>
      </c>
      <c r="H77" s="189">
        <f t="shared" si="24"/>
        <v>175.79</v>
      </c>
      <c r="I77" s="189">
        <f t="shared" si="24"/>
        <v>145.91999999999999</v>
      </c>
      <c r="J77" s="189">
        <f t="shared" si="24"/>
        <v>179.2</v>
      </c>
      <c r="K77" s="189">
        <f t="shared" si="24"/>
        <v>147.84</v>
      </c>
      <c r="L77" s="189">
        <f t="shared" si="24"/>
        <v>181.56</v>
      </c>
      <c r="M77" s="189">
        <f t="shared" si="24"/>
        <v>0</v>
      </c>
      <c r="N77" s="189">
        <f t="shared" si="24"/>
        <v>0</v>
      </c>
      <c r="O77" s="189">
        <f t="shared" si="24"/>
        <v>162.79</v>
      </c>
    </row>
    <row r="78" spans="1:15" x14ac:dyDescent="0.25">
      <c r="A78" s="1635">
        <v>25</v>
      </c>
      <c r="B78" s="194" t="s">
        <v>96</v>
      </c>
      <c r="C78" s="183">
        <v>270701</v>
      </c>
      <c r="D78" s="187">
        <f>ROUND((C78*(1+'Løntabel gældende fra'!$D$7%)),0)</f>
        <v>332439</v>
      </c>
      <c r="E78" s="185">
        <v>275873</v>
      </c>
      <c r="F78" s="186">
        <f>ROUND((E78*(1+'Løntabel gældende fra'!$D$7%)),0)</f>
        <v>338791</v>
      </c>
      <c r="G78" s="183">
        <v>279454</v>
      </c>
      <c r="H78" s="187">
        <f>ROUND((G78*(1+'Løntabel gældende fra'!$D$7%)),0)</f>
        <v>343188</v>
      </c>
      <c r="I78" s="185">
        <v>284626</v>
      </c>
      <c r="J78" s="186">
        <f>ROUND((I78*(1+'Løntabel gældende fra'!$D$7%)),0)</f>
        <v>349540</v>
      </c>
      <c r="K78" s="183">
        <v>288206</v>
      </c>
      <c r="L78" s="187">
        <f>ROUND((K78*(1+'Løntabel gældende fra'!$D$7%)),0)</f>
        <v>353936</v>
      </c>
      <c r="M78" s="380"/>
      <c r="N78" s="359">
        <v>259721.7</v>
      </c>
      <c r="O78" s="360">
        <f>ROUND(N78*(1+'Løntabel gældende fra'!$D$7%),2)</f>
        <v>318955.65000000002</v>
      </c>
    </row>
    <row r="79" spans="1:15" x14ac:dyDescent="0.25">
      <c r="A79" s="1636"/>
      <c r="B79" s="363" t="s">
        <v>200</v>
      </c>
      <c r="C79" s="366"/>
      <c r="D79" s="373">
        <f>ROUND(D78/12,2)</f>
        <v>27703.25</v>
      </c>
      <c r="E79" s="370">
        <f>E78/12</f>
        <v>22989.416666666668</v>
      </c>
      <c r="F79" s="355">
        <f>ROUND(F78/12,2)</f>
        <v>28232.58</v>
      </c>
      <c r="G79" s="366">
        <f>G78/12</f>
        <v>23287.833333333332</v>
      </c>
      <c r="H79" s="373">
        <f>ROUND(H78/12,2)</f>
        <v>28599</v>
      </c>
      <c r="I79" s="370">
        <f>I78/12</f>
        <v>23718.833333333332</v>
      </c>
      <c r="J79" s="355">
        <f>ROUND(J78/12,2)</f>
        <v>29128.33</v>
      </c>
      <c r="K79" s="366">
        <f>K78/12</f>
        <v>24017.166666666668</v>
      </c>
      <c r="L79" s="373">
        <f>ROUND(L78/12,2)</f>
        <v>29494.67</v>
      </c>
      <c r="M79" s="378"/>
      <c r="N79" s="356"/>
      <c r="O79" s="358">
        <f>ROUND(O78/12,2)</f>
        <v>26579.64</v>
      </c>
    </row>
    <row r="80" spans="1:15" ht="15.75" thickBot="1" x14ac:dyDescent="0.3">
      <c r="A80" s="1639"/>
      <c r="B80" s="365" t="s">
        <v>195</v>
      </c>
      <c r="C80" s="369">
        <f>C78/12</f>
        <v>22558.416666666668</v>
      </c>
      <c r="D80" s="189">
        <f>ROUND(D79/160.33,2)</f>
        <v>172.79</v>
      </c>
      <c r="E80" s="372"/>
      <c r="F80" s="189">
        <f t="shared" ref="F80:O80" si="25">ROUND(F79/160.33,2)</f>
        <v>176.09</v>
      </c>
      <c r="G80" s="189">
        <f t="shared" si="25"/>
        <v>145.25</v>
      </c>
      <c r="H80" s="189">
        <f t="shared" si="25"/>
        <v>178.38</v>
      </c>
      <c r="I80" s="189">
        <f t="shared" si="25"/>
        <v>147.94</v>
      </c>
      <c r="J80" s="189">
        <f t="shared" si="25"/>
        <v>181.68</v>
      </c>
      <c r="K80" s="189">
        <f t="shared" si="25"/>
        <v>149.80000000000001</v>
      </c>
      <c r="L80" s="189">
        <f t="shared" si="25"/>
        <v>183.96</v>
      </c>
      <c r="M80" s="189">
        <f t="shared" si="25"/>
        <v>0</v>
      </c>
      <c r="N80" s="189">
        <f t="shared" si="25"/>
        <v>0</v>
      </c>
      <c r="O80" s="189">
        <f t="shared" si="25"/>
        <v>165.78</v>
      </c>
    </row>
    <row r="81" spans="1:15" x14ac:dyDescent="0.25">
      <c r="A81" s="1638">
        <v>26</v>
      </c>
      <c r="B81" s="195" t="s">
        <v>96</v>
      </c>
      <c r="C81" s="191">
        <v>275131</v>
      </c>
      <c r="D81" s="184">
        <f>ROUND((C81*(1+'Løntabel gældende fra'!$D$7%)),0)</f>
        <v>337879</v>
      </c>
      <c r="E81" s="192">
        <v>280123</v>
      </c>
      <c r="F81" s="193">
        <f>ROUND((E81*(1+'Løntabel gældende fra'!$D$7%)),0)</f>
        <v>344010</v>
      </c>
      <c r="G81" s="191">
        <v>283580</v>
      </c>
      <c r="H81" s="184">
        <f>ROUND((G81*(1+'Løntabel gældende fra'!$D$7%)),0)</f>
        <v>348255</v>
      </c>
      <c r="I81" s="192">
        <v>288573</v>
      </c>
      <c r="J81" s="193">
        <f>ROUND((I81*(1+'Løntabel gældende fra'!$D$7%)),0)</f>
        <v>354387</v>
      </c>
      <c r="K81" s="191">
        <v>292029</v>
      </c>
      <c r="L81" s="184">
        <f>ROUND((K81*(1+'Løntabel gældende fra'!$D$7%)),0)</f>
        <v>358631</v>
      </c>
      <c r="M81" s="379"/>
      <c r="N81" s="357">
        <v>264528.59000000003</v>
      </c>
      <c r="O81" s="198">
        <f>ROUND(N81*(1+'Løntabel gældende fra'!$D$7%),2)</f>
        <v>324858.83</v>
      </c>
    </row>
    <row r="82" spans="1:15" x14ac:dyDescent="0.25">
      <c r="A82" s="1636"/>
      <c r="B82" s="363" t="s">
        <v>200</v>
      </c>
      <c r="C82" s="366"/>
      <c r="D82" s="373">
        <f>ROUND(D81/12,2)</f>
        <v>28156.58</v>
      </c>
      <c r="E82" s="370">
        <f>E81/12</f>
        <v>23343.583333333332</v>
      </c>
      <c r="F82" s="355">
        <f>ROUND(F81/12,2)</f>
        <v>28667.5</v>
      </c>
      <c r="G82" s="366">
        <f>G81/12</f>
        <v>23631.666666666668</v>
      </c>
      <c r="H82" s="373">
        <f>ROUND(H81/12,2)</f>
        <v>29021.25</v>
      </c>
      <c r="I82" s="370">
        <f>I81/12</f>
        <v>24047.75</v>
      </c>
      <c r="J82" s="355">
        <f>ROUND(J81/12,2)</f>
        <v>29532.25</v>
      </c>
      <c r="K82" s="366">
        <f>K81/12</f>
        <v>24335.75</v>
      </c>
      <c r="L82" s="373">
        <f>ROUND(L81/12,2)</f>
        <v>29885.919999999998</v>
      </c>
      <c r="M82" s="378"/>
      <c r="N82" s="356"/>
      <c r="O82" s="358">
        <f>ROUND(O81/12,2)</f>
        <v>27071.57</v>
      </c>
    </row>
    <row r="83" spans="1:15" ht="15.75" thickBot="1" x14ac:dyDescent="0.3">
      <c r="A83" s="1637"/>
      <c r="B83" s="364" t="s">
        <v>195</v>
      </c>
      <c r="C83" s="188">
        <f>C81/12</f>
        <v>22927.583333333332</v>
      </c>
      <c r="D83" s="189">
        <f>ROUND(D82/160.33,2)</f>
        <v>175.62</v>
      </c>
      <c r="E83" s="371"/>
      <c r="F83" s="189">
        <f t="shared" ref="F83:O83" si="26">ROUND(F82/160.33,2)</f>
        <v>178.8</v>
      </c>
      <c r="G83" s="189">
        <f t="shared" si="26"/>
        <v>147.38999999999999</v>
      </c>
      <c r="H83" s="189">
        <f t="shared" si="26"/>
        <v>181.01</v>
      </c>
      <c r="I83" s="189">
        <f t="shared" si="26"/>
        <v>149.99</v>
      </c>
      <c r="J83" s="189">
        <f t="shared" si="26"/>
        <v>184.2</v>
      </c>
      <c r="K83" s="189">
        <f t="shared" si="26"/>
        <v>151.79</v>
      </c>
      <c r="L83" s="189">
        <f t="shared" si="26"/>
        <v>186.4</v>
      </c>
      <c r="M83" s="189">
        <f t="shared" si="26"/>
        <v>0</v>
      </c>
      <c r="N83" s="189">
        <f t="shared" si="26"/>
        <v>0</v>
      </c>
      <c r="O83" s="189">
        <f t="shared" si="26"/>
        <v>168.85</v>
      </c>
    </row>
    <row r="84" spans="1:15" x14ac:dyDescent="0.25">
      <c r="A84" s="1635">
        <v>27</v>
      </c>
      <c r="B84" s="194" t="s">
        <v>96</v>
      </c>
      <c r="C84" s="183">
        <v>279656</v>
      </c>
      <c r="D84" s="187">
        <f>ROUND((C84*(1+'Løntabel gældende fra'!$D$7%)),0)</f>
        <v>343436</v>
      </c>
      <c r="E84" s="185">
        <v>284456</v>
      </c>
      <c r="F84" s="186">
        <f>ROUND((E84*(1+'Løntabel gældende fra'!$D$7%)),0)</f>
        <v>349331</v>
      </c>
      <c r="G84" s="183">
        <v>287782</v>
      </c>
      <c r="H84" s="187">
        <f>ROUND((G84*(1+'Løntabel gældende fra'!$D$7%)),0)</f>
        <v>353416</v>
      </c>
      <c r="I84" s="185">
        <v>292583</v>
      </c>
      <c r="J84" s="186">
        <f>ROUND((I84*(1+'Løntabel gældende fra'!$D$7%)),0)</f>
        <v>359312</v>
      </c>
      <c r="K84" s="183">
        <v>295908</v>
      </c>
      <c r="L84" s="187">
        <f>ROUND((K84*(1+'Løntabel gældende fra'!$D$7%)),0)</f>
        <v>363395</v>
      </c>
      <c r="M84" s="380"/>
      <c r="N84" s="359">
        <v>269459.90000000002</v>
      </c>
      <c r="O84" s="360">
        <f>ROUND(N84*(1+'Løntabel gældende fra'!$D$7%),2)</f>
        <v>330914.81</v>
      </c>
    </row>
    <row r="85" spans="1:15" x14ac:dyDescent="0.25">
      <c r="A85" s="1636"/>
      <c r="B85" s="363" t="s">
        <v>200</v>
      </c>
      <c r="C85" s="366"/>
      <c r="D85" s="373">
        <f>ROUND(D84/12,2)</f>
        <v>28619.67</v>
      </c>
      <c r="E85" s="370">
        <f>E84/12</f>
        <v>23704.666666666668</v>
      </c>
      <c r="F85" s="355">
        <f>ROUND(F84/12,2)</f>
        <v>29110.92</v>
      </c>
      <c r="G85" s="366">
        <f>G84/12</f>
        <v>23981.833333333332</v>
      </c>
      <c r="H85" s="373">
        <f>ROUND(H84/12,2)</f>
        <v>29451.33</v>
      </c>
      <c r="I85" s="370">
        <f>I84/12</f>
        <v>24381.916666666668</v>
      </c>
      <c r="J85" s="355">
        <f>ROUND(J84/12,2)</f>
        <v>29942.67</v>
      </c>
      <c r="K85" s="366">
        <f>K84/12</f>
        <v>24659</v>
      </c>
      <c r="L85" s="373">
        <f>ROUND(L84/12,2)</f>
        <v>30282.92</v>
      </c>
      <c r="M85" s="378"/>
      <c r="N85" s="356"/>
      <c r="O85" s="358">
        <f>ROUND(O84/12,2)</f>
        <v>27576.23</v>
      </c>
    </row>
    <row r="86" spans="1:15" ht="15.75" thickBot="1" x14ac:dyDescent="0.3">
      <c r="A86" s="1639"/>
      <c r="B86" s="365" t="s">
        <v>195</v>
      </c>
      <c r="C86" s="369">
        <f>C84/12</f>
        <v>23304.666666666668</v>
      </c>
      <c r="D86" s="189">
        <f>ROUND(D85/160.33,2)</f>
        <v>178.5</v>
      </c>
      <c r="E86" s="372"/>
      <c r="F86" s="189">
        <f t="shared" ref="F86:O86" si="27">ROUND(F85/160.33,2)</f>
        <v>181.57</v>
      </c>
      <c r="G86" s="189">
        <f t="shared" si="27"/>
        <v>149.58000000000001</v>
      </c>
      <c r="H86" s="189">
        <f t="shared" si="27"/>
        <v>183.69</v>
      </c>
      <c r="I86" s="189">
        <f t="shared" si="27"/>
        <v>152.07</v>
      </c>
      <c r="J86" s="189">
        <f t="shared" si="27"/>
        <v>186.76</v>
      </c>
      <c r="K86" s="189">
        <f t="shared" si="27"/>
        <v>153.80000000000001</v>
      </c>
      <c r="L86" s="189">
        <f t="shared" si="27"/>
        <v>188.88</v>
      </c>
      <c r="M86" s="189">
        <f t="shared" si="27"/>
        <v>0</v>
      </c>
      <c r="N86" s="189">
        <f t="shared" si="27"/>
        <v>0</v>
      </c>
      <c r="O86" s="189">
        <f t="shared" si="27"/>
        <v>172</v>
      </c>
    </row>
    <row r="87" spans="1:15" x14ac:dyDescent="0.25">
      <c r="A87" s="1638">
        <v>28</v>
      </c>
      <c r="B87" s="195" t="s">
        <v>96</v>
      </c>
      <c r="C87" s="191">
        <v>284283</v>
      </c>
      <c r="D87" s="184">
        <f>ROUND((C87*(1+'Løntabel gældende fra'!$D$7%)),0)</f>
        <v>349119</v>
      </c>
      <c r="E87" s="192">
        <v>288881</v>
      </c>
      <c r="F87" s="193">
        <f>ROUND((E87*(1+'Løntabel gældende fra'!$D$7%)),0)</f>
        <v>354765</v>
      </c>
      <c r="G87" s="191">
        <v>292064</v>
      </c>
      <c r="H87" s="184">
        <f>ROUND((G87*(1+'Løntabel gældende fra'!$D$7%)),0)</f>
        <v>358674</v>
      </c>
      <c r="I87" s="192">
        <v>296661</v>
      </c>
      <c r="J87" s="193">
        <f>ROUND((I87*(1+'Løntabel gældende fra'!$D$7%)),0)</f>
        <v>364320</v>
      </c>
      <c r="K87" s="191">
        <v>299845</v>
      </c>
      <c r="L87" s="184">
        <f>ROUND((K87*(1+'Løntabel gældende fra'!$D$7%)),0)</f>
        <v>368230</v>
      </c>
      <c r="M87" s="379"/>
      <c r="N87" s="357">
        <v>274522.23</v>
      </c>
      <c r="O87" s="198">
        <f>ROUND(N87*(1+'Løntabel gældende fra'!$D$7%),2)</f>
        <v>337131.69</v>
      </c>
    </row>
    <row r="88" spans="1:15" x14ac:dyDescent="0.25">
      <c r="A88" s="1636"/>
      <c r="B88" s="363" t="s">
        <v>200</v>
      </c>
      <c r="C88" s="366"/>
      <c r="D88" s="373">
        <f>ROUND(D87/12,2)</f>
        <v>29093.25</v>
      </c>
      <c r="E88" s="370">
        <f>E87/12</f>
        <v>24073.416666666668</v>
      </c>
      <c r="F88" s="355">
        <f>ROUND(F87/12,2)</f>
        <v>29563.75</v>
      </c>
      <c r="G88" s="366">
        <f>G87/12</f>
        <v>24338.666666666668</v>
      </c>
      <c r="H88" s="373">
        <f>ROUND(H87/12,2)</f>
        <v>29889.5</v>
      </c>
      <c r="I88" s="370">
        <f>I87/12</f>
        <v>24721.75</v>
      </c>
      <c r="J88" s="355">
        <f>ROUND(J87/12,2)</f>
        <v>30360</v>
      </c>
      <c r="K88" s="366">
        <f>K87/12</f>
        <v>24987.083333333332</v>
      </c>
      <c r="L88" s="373">
        <f>ROUND(L87/12,2)</f>
        <v>30685.83</v>
      </c>
      <c r="M88" s="378"/>
      <c r="N88" s="356"/>
      <c r="O88" s="358">
        <f>ROUND(O87/12,2)</f>
        <v>28094.31</v>
      </c>
    </row>
    <row r="89" spans="1:15" ht="15.75" thickBot="1" x14ac:dyDescent="0.3">
      <c r="A89" s="1637"/>
      <c r="B89" s="364" t="s">
        <v>195</v>
      </c>
      <c r="C89" s="188">
        <f>C87/12</f>
        <v>23690.25</v>
      </c>
      <c r="D89" s="189">
        <f>ROUND(D88/160.33,2)</f>
        <v>181.46</v>
      </c>
      <c r="E89" s="189">
        <f t="shared" ref="E89:O89" si="28">ROUND(E88/160.33,2)</f>
        <v>150.15</v>
      </c>
      <c r="F89" s="189">
        <f t="shared" si="28"/>
        <v>184.39</v>
      </c>
      <c r="G89" s="189">
        <f t="shared" si="28"/>
        <v>151.80000000000001</v>
      </c>
      <c r="H89" s="189">
        <f t="shared" si="28"/>
        <v>186.42</v>
      </c>
      <c r="I89" s="189">
        <f t="shared" si="28"/>
        <v>154.19</v>
      </c>
      <c r="J89" s="189">
        <f t="shared" si="28"/>
        <v>189.36</v>
      </c>
      <c r="K89" s="189">
        <f t="shared" si="28"/>
        <v>155.85</v>
      </c>
      <c r="L89" s="189">
        <f t="shared" si="28"/>
        <v>191.39</v>
      </c>
      <c r="M89" s="189">
        <f t="shared" si="28"/>
        <v>0</v>
      </c>
      <c r="N89" s="189">
        <f t="shared" si="28"/>
        <v>0</v>
      </c>
      <c r="O89" s="189">
        <f t="shared" si="28"/>
        <v>175.23</v>
      </c>
    </row>
    <row r="90" spans="1:15" x14ac:dyDescent="0.25">
      <c r="A90" s="1635">
        <v>29</v>
      </c>
      <c r="B90" s="194" t="s">
        <v>96</v>
      </c>
      <c r="C90" s="183">
        <v>289014</v>
      </c>
      <c r="D90" s="187">
        <f>ROUND((C90*(1+'Løntabel gældende fra'!$D$7%)),0)</f>
        <v>354929</v>
      </c>
      <c r="E90" s="185">
        <v>293394</v>
      </c>
      <c r="F90" s="186">
        <f>ROUND((E90*(1+'Løntabel gældende fra'!$D$7%)),0)</f>
        <v>360307</v>
      </c>
      <c r="G90" s="183">
        <v>296427</v>
      </c>
      <c r="H90" s="187">
        <f>ROUND((G90*(1+'Løntabel gældende fra'!$D$7%)),0)</f>
        <v>364032</v>
      </c>
      <c r="I90" s="185">
        <v>300807</v>
      </c>
      <c r="J90" s="186">
        <f>ROUND((I90*(1+'Løntabel gældende fra'!$D$7%)),0)</f>
        <v>369411</v>
      </c>
      <c r="K90" s="183">
        <v>303839</v>
      </c>
      <c r="L90" s="187">
        <f>ROUND((K90*(1+'Løntabel gældende fra'!$D$7%)),0)</f>
        <v>373135</v>
      </c>
      <c r="M90" s="380"/>
      <c r="N90" s="359">
        <v>279714.99</v>
      </c>
      <c r="O90" s="360">
        <f>ROUND(N90*(1+'Løntabel gældende fra'!$D$7%),2)</f>
        <v>343508.75</v>
      </c>
    </row>
    <row r="91" spans="1:15" x14ac:dyDescent="0.25">
      <c r="A91" s="1636"/>
      <c r="B91" s="363" t="s">
        <v>200</v>
      </c>
      <c r="C91" s="366"/>
      <c r="D91" s="373">
        <f>ROUND(D90/12,2)</f>
        <v>29577.42</v>
      </c>
      <c r="E91" s="370">
        <f>E90/12</f>
        <v>24449.5</v>
      </c>
      <c r="F91" s="355">
        <f>ROUND(F90/12,2)</f>
        <v>30025.58</v>
      </c>
      <c r="G91" s="366">
        <f>G90/12</f>
        <v>24702.25</v>
      </c>
      <c r="H91" s="373">
        <f>ROUND(H90/12,2)</f>
        <v>30336</v>
      </c>
      <c r="I91" s="370">
        <f>I90/12</f>
        <v>25067.25</v>
      </c>
      <c r="J91" s="355">
        <f>ROUND(J90/12,2)</f>
        <v>30784.25</v>
      </c>
      <c r="K91" s="366">
        <f>K90/12</f>
        <v>25319.916666666668</v>
      </c>
      <c r="L91" s="373">
        <f>ROUND(L90/12,2)</f>
        <v>31094.58</v>
      </c>
      <c r="M91" s="378"/>
      <c r="N91" s="356"/>
      <c r="O91" s="358">
        <f>ROUND(O90/12,2)</f>
        <v>28625.73</v>
      </c>
    </row>
    <row r="92" spans="1:15" ht="15.75" thickBot="1" x14ac:dyDescent="0.3">
      <c r="A92" s="1639"/>
      <c r="B92" s="365" t="s">
        <v>195</v>
      </c>
      <c r="C92" s="369">
        <f>C90/12</f>
        <v>24084.5</v>
      </c>
      <c r="D92" s="189">
        <f>ROUND(D91/160.33,2)</f>
        <v>184.48</v>
      </c>
      <c r="E92" s="372"/>
      <c r="F92" s="189">
        <f t="shared" ref="F92:O92" si="29">ROUND(F91/160.33,2)</f>
        <v>187.27</v>
      </c>
      <c r="G92" s="189">
        <f t="shared" si="29"/>
        <v>154.07</v>
      </c>
      <c r="H92" s="189">
        <f t="shared" si="29"/>
        <v>189.21</v>
      </c>
      <c r="I92" s="189">
        <f t="shared" si="29"/>
        <v>156.35</v>
      </c>
      <c r="J92" s="189">
        <f t="shared" si="29"/>
        <v>192.01</v>
      </c>
      <c r="K92" s="189">
        <f t="shared" si="29"/>
        <v>157.91999999999999</v>
      </c>
      <c r="L92" s="189">
        <f t="shared" si="29"/>
        <v>193.94</v>
      </c>
      <c r="M92" s="189">
        <f t="shared" si="29"/>
        <v>0</v>
      </c>
      <c r="N92" s="189">
        <f t="shared" si="29"/>
        <v>0</v>
      </c>
      <c r="O92" s="189">
        <f t="shared" si="29"/>
        <v>178.54</v>
      </c>
    </row>
    <row r="93" spans="1:15" x14ac:dyDescent="0.25">
      <c r="A93" s="1638">
        <v>30</v>
      </c>
      <c r="B93" s="195" t="s">
        <v>96</v>
      </c>
      <c r="C93" s="191">
        <v>293853</v>
      </c>
      <c r="D93" s="184">
        <f>ROUND((C93*(1+'Løntabel gældende fra'!$D$7%)),0)</f>
        <v>360871</v>
      </c>
      <c r="E93" s="192">
        <v>298001</v>
      </c>
      <c r="F93" s="193">
        <f>ROUND((E93*(1+'Løntabel gældende fra'!$D$7%)),0)</f>
        <v>365965</v>
      </c>
      <c r="G93" s="191">
        <v>300872</v>
      </c>
      <c r="H93" s="184">
        <f>ROUND((G93*(1+'Løntabel gældende fra'!$D$7%)),0)</f>
        <v>369491</v>
      </c>
      <c r="I93" s="192">
        <v>305018</v>
      </c>
      <c r="J93" s="193">
        <f>ROUND((I93*(1+'Løntabel gældende fra'!$D$7%)),0)</f>
        <v>374583</v>
      </c>
      <c r="K93" s="191">
        <v>307890</v>
      </c>
      <c r="L93" s="184">
        <f>ROUND((K93*(1+'Løntabel gældende fra'!$D$7%)),0)</f>
        <v>378110</v>
      </c>
      <c r="M93" s="379"/>
      <c r="N93" s="357">
        <v>285044.74</v>
      </c>
      <c r="O93" s="198">
        <f>ROUND(N93*(1+'Løntabel gældende fra'!$D$7%),2)</f>
        <v>350054.04</v>
      </c>
    </row>
    <row r="94" spans="1:15" x14ac:dyDescent="0.25">
      <c r="A94" s="1636"/>
      <c r="B94" s="363" t="s">
        <v>97</v>
      </c>
      <c r="C94" s="366"/>
      <c r="D94" s="373">
        <f>ROUND(D93/12,2)</f>
        <v>30072.58</v>
      </c>
      <c r="E94" s="370">
        <f>E93/12</f>
        <v>24833.416666666668</v>
      </c>
      <c r="F94" s="355">
        <f>ROUND(F93/12,2)</f>
        <v>30497.08</v>
      </c>
      <c r="G94" s="366">
        <f>G93/12</f>
        <v>25072.666666666668</v>
      </c>
      <c r="H94" s="373">
        <f>ROUND(H93/12,2)</f>
        <v>30790.92</v>
      </c>
      <c r="I94" s="370">
        <f>I93/12</f>
        <v>25418.166666666668</v>
      </c>
      <c r="J94" s="355">
        <f>ROUND(J93/12,2)</f>
        <v>31215.25</v>
      </c>
      <c r="K94" s="366">
        <f>K93/12</f>
        <v>25657.5</v>
      </c>
      <c r="L94" s="373">
        <f>ROUND(L93/12,2)</f>
        <v>31509.17</v>
      </c>
      <c r="M94" s="378"/>
      <c r="N94" s="356"/>
      <c r="O94" s="358">
        <f>ROUND(O93/12,2)</f>
        <v>29171.17</v>
      </c>
    </row>
    <row r="95" spans="1:15" ht="15.75" thickBot="1" x14ac:dyDescent="0.3">
      <c r="A95" s="1637"/>
      <c r="B95" s="364" t="s">
        <v>195</v>
      </c>
      <c r="C95" s="188">
        <f>C93/12</f>
        <v>24487.75</v>
      </c>
      <c r="D95" s="189">
        <f>ROUND(D94/160.33,2)</f>
        <v>187.57</v>
      </c>
      <c r="E95" s="371"/>
      <c r="F95" s="189">
        <f t="shared" ref="F95:O95" si="30">ROUND(F94/160.33,2)</f>
        <v>190.21</v>
      </c>
      <c r="G95" s="189">
        <f t="shared" si="30"/>
        <v>156.38</v>
      </c>
      <c r="H95" s="189">
        <f t="shared" si="30"/>
        <v>192.05</v>
      </c>
      <c r="I95" s="189">
        <f t="shared" si="30"/>
        <v>158.54</v>
      </c>
      <c r="J95" s="189">
        <f t="shared" si="30"/>
        <v>194.69</v>
      </c>
      <c r="K95" s="189">
        <f t="shared" si="30"/>
        <v>160.03</v>
      </c>
      <c r="L95" s="189">
        <f t="shared" si="30"/>
        <v>196.53</v>
      </c>
      <c r="M95" s="189">
        <f t="shared" si="30"/>
        <v>0</v>
      </c>
      <c r="N95" s="189">
        <f t="shared" si="30"/>
        <v>0</v>
      </c>
      <c r="O95" s="189">
        <f t="shared" si="30"/>
        <v>181.94</v>
      </c>
    </row>
    <row r="96" spans="1:15" x14ac:dyDescent="0.25">
      <c r="A96" s="1635">
        <v>31</v>
      </c>
      <c r="B96" s="194" t="s">
        <v>96</v>
      </c>
      <c r="C96" s="183">
        <v>298795</v>
      </c>
      <c r="D96" s="187">
        <f>ROUND((C96*(1+'Løntabel gældende fra'!$D$7%)),0)</f>
        <v>366940</v>
      </c>
      <c r="E96" s="185">
        <v>302696</v>
      </c>
      <c r="F96" s="186">
        <f>ROUND((E96*(1+'Løntabel gældende fra'!$D$7%)),0)</f>
        <v>371731</v>
      </c>
      <c r="G96" s="183">
        <v>305398</v>
      </c>
      <c r="H96" s="187">
        <f>ROUND((G96*(1+'Løntabel gældende fra'!$D$7%)),0)</f>
        <v>375049</v>
      </c>
      <c r="I96" s="185">
        <v>309299</v>
      </c>
      <c r="J96" s="186">
        <f>ROUND((I96*(1+'Løntabel gældende fra'!$D$7%)),0)</f>
        <v>379840</v>
      </c>
      <c r="K96" s="183">
        <v>312000</v>
      </c>
      <c r="L96" s="187">
        <f>ROUND((K96*(1+'Løntabel gældende fra'!$D$7%)),0)</f>
        <v>383157</v>
      </c>
      <c r="M96" s="380"/>
      <c r="N96" s="359">
        <v>290512.64000000001</v>
      </c>
      <c r="O96" s="360">
        <f>ROUND(N96*(1+'Løntabel gældende fra'!$D$7%),2)</f>
        <v>356768.99</v>
      </c>
    </row>
    <row r="97" spans="1:15" x14ac:dyDescent="0.25">
      <c r="A97" s="1636"/>
      <c r="B97" s="363" t="s">
        <v>200</v>
      </c>
      <c r="C97" s="366"/>
      <c r="D97" s="373">
        <f>ROUND(D96/12,2)</f>
        <v>30578.33</v>
      </c>
      <c r="E97" s="370">
        <f>E96/12</f>
        <v>25224.666666666668</v>
      </c>
      <c r="F97" s="355">
        <f>ROUND(F96/12,2)</f>
        <v>30977.58</v>
      </c>
      <c r="G97" s="366">
        <f>G96/12</f>
        <v>25449.833333333332</v>
      </c>
      <c r="H97" s="373">
        <f>ROUND(H96/12,2)</f>
        <v>31254.080000000002</v>
      </c>
      <c r="I97" s="370">
        <f>I96/12</f>
        <v>25774.916666666668</v>
      </c>
      <c r="J97" s="355">
        <f>ROUND(J96/12,2)</f>
        <v>31653.33</v>
      </c>
      <c r="K97" s="366">
        <f>K96/12</f>
        <v>26000</v>
      </c>
      <c r="L97" s="373">
        <f>ROUND(L96/12,2)</f>
        <v>31929.75</v>
      </c>
      <c r="M97" s="378"/>
      <c r="N97" s="356"/>
      <c r="O97" s="358">
        <f>ROUND(O96/12,2)</f>
        <v>29730.75</v>
      </c>
    </row>
    <row r="98" spans="1:15" ht="15.75" thickBot="1" x14ac:dyDescent="0.3">
      <c r="A98" s="1639"/>
      <c r="B98" s="365" t="s">
        <v>195</v>
      </c>
      <c r="C98" s="369">
        <f>C96/12</f>
        <v>24899.583333333332</v>
      </c>
      <c r="D98" s="189">
        <f>ROUND(D97/160.33,2)</f>
        <v>190.72</v>
      </c>
      <c r="E98" s="372"/>
      <c r="F98" s="189">
        <f t="shared" ref="F98:O98" si="31">ROUND(F97/160.33,2)</f>
        <v>193.21</v>
      </c>
      <c r="G98" s="189">
        <f t="shared" si="31"/>
        <v>158.72999999999999</v>
      </c>
      <c r="H98" s="189">
        <f t="shared" si="31"/>
        <v>194.94</v>
      </c>
      <c r="I98" s="189">
        <f t="shared" si="31"/>
        <v>160.76</v>
      </c>
      <c r="J98" s="189">
        <f t="shared" si="31"/>
        <v>197.43</v>
      </c>
      <c r="K98" s="189">
        <f t="shared" si="31"/>
        <v>162.16999999999999</v>
      </c>
      <c r="L98" s="189">
        <f t="shared" si="31"/>
        <v>199.15</v>
      </c>
      <c r="M98" s="189">
        <f t="shared" si="31"/>
        <v>0</v>
      </c>
      <c r="N98" s="189">
        <f t="shared" si="31"/>
        <v>0</v>
      </c>
      <c r="O98" s="189">
        <f t="shared" si="31"/>
        <v>185.43</v>
      </c>
    </row>
    <row r="99" spans="1:15" x14ac:dyDescent="0.25">
      <c r="A99" s="1638">
        <v>32</v>
      </c>
      <c r="B99" s="195" t="s">
        <v>96</v>
      </c>
      <c r="C99" s="191">
        <v>303852</v>
      </c>
      <c r="D99" s="184">
        <f>ROUND((C99*(1+'Løntabel gældende fra'!$D$7%)),0)</f>
        <v>373151</v>
      </c>
      <c r="E99" s="192">
        <v>307490</v>
      </c>
      <c r="F99" s="193">
        <f>ROUND((E99*(1+'Løntabel gældende fra'!$D$7%)),0)</f>
        <v>377618</v>
      </c>
      <c r="G99" s="191">
        <v>310009</v>
      </c>
      <c r="H99" s="184">
        <f>ROUND((G99*(1+'Løntabel gældende fra'!$D$7%)),0)</f>
        <v>380712</v>
      </c>
      <c r="I99" s="192">
        <v>313649</v>
      </c>
      <c r="J99" s="193">
        <f>ROUND((I99*(1+'Løntabel gældende fra'!$D$7%)),0)</f>
        <v>385182</v>
      </c>
      <c r="K99" s="191">
        <v>316167</v>
      </c>
      <c r="L99" s="184">
        <f>ROUND((K99*(1+'Løntabel gældende fra'!$D$7%)),0)</f>
        <v>388274</v>
      </c>
      <c r="M99" s="379"/>
      <c r="N99" s="357">
        <v>296125.21000000002</v>
      </c>
      <c r="O99" s="198">
        <f>ROUND(N99*(1+'Løntabel gældende fra'!$D$7%),2)</f>
        <v>363661.6</v>
      </c>
    </row>
    <row r="100" spans="1:15" x14ac:dyDescent="0.25">
      <c r="A100" s="1636"/>
      <c r="B100" s="363" t="s">
        <v>97</v>
      </c>
      <c r="C100" s="366"/>
      <c r="D100" s="373">
        <f>ROUND(D99/12,2)</f>
        <v>31095.919999999998</v>
      </c>
      <c r="E100" s="370">
        <f>E99/12</f>
        <v>25624.166666666668</v>
      </c>
      <c r="F100" s="355">
        <f>ROUND(F99/12,2)</f>
        <v>31468.17</v>
      </c>
      <c r="G100" s="366">
        <f>G99/12</f>
        <v>25834.083333333332</v>
      </c>
      <c r="H100" s="373">
        <f>ROUND(H99/12,2)</f>
        <v>31726</v>
      </c>
      <c r="I100" s="370">
        <f>I99/12</f>
        <v>26137.416666666668</v>
      </c>
      <c r="J100" s="355">
        <f>ROUND(J99/12,2)</f>
        <v>32098.5</v>
      </c>
      <c r="K100" s="366">
        <f>K99/12</f>
        <v>26347.25</v>
      </c>
      <c r="L100" s="373">
        <f>ROUND(L99/12,2)</f>
        <v>32356.17</v>
      </c>
      <c r="M100" s="378"/>
      <c r="N100" s="356"/>
      <c r="O100" s="358">
        <f>ROUND(O99/12,2)</f>
        <v>30305.13</v>
      </c>
    </row>
    <row r="101" spans="1:15" ht="15.75" thickBot="1" x14ac:dyDescent="0.3">
      <c r="A101" s="1637"/>
      <c r="B101" s="364" t="s">
        <v>195</v>
      </c>
      <c r="C101" s="188">
        <f>C99/12</f>
        <v>25321</v>
      </c>
      <c r="D101" s="189">
        <f>ROUND(D100/160.33,2)</f>
        <v>193.95</v>
      </c>
      <c r="E101" s="371"/>
      <c r="F101" s="189">
        <f t="shared" ref="F101:O101" si="32">ROUND(F100/160.33,2)</f>
        <v>196.27</v>
      </c>
      <c r="G101" s="189">
        <f t="shared" si="32"/>
        <v>161.13</v>
      </c>
      <c r="H101" s="189">
        <f t="shared" si="32"/>
        <v>197.88</v>
      </c>
      <c r="I101" s="189">
        <f t="shared" si="32"/>
        <v>163.02000000000001</v>
      </c>
      <c r="J101" s="189">
        <f t="shared" si="32"/>
        <v>200.2</v>
      </c>
      <c r="K101" s="189">
        <f t="shared" si="32"/>
        <v>164.33</v>
      </c>
      <c r="L101" s="189">
        <f t="shared" si="32"/>
        <v>201.81</v>
      </c>
      <c r="M101" s="189">
        <f t="shared" si="32"/>
        <v>0</v>
      </c>
      <c r="N101" s="189">
        <f t="shared" si="32"/>
        <v>0</v>
      </c>
      <c r="O101" s="189">
        <f t="shared" si="32"/>
        <v>189.02</v>
      </c>
    </row>
    <row r="102" spans="1:15" x14ac:dyDescent="0.25">
      <c r="A102" s="1635">
        <v>33</v>
      </c>
      <c r="B102" s="194" t="s">
        <v>96</v>
      </c>
      <c r="C102" s="183">
        <v>309016</v>
      </c>
      <c r="D102" s="187">
        <f>ROUND((C102*(1+'Løntabel gældende fra'!$D$7%)),0)</f>
        <v>379492</v>
      </c>
      <c r="E102" s="185">
        <v>312375</v>
      </c>
      <c r="F102" s="186">
        <f>ROUND((E102*(1+'Løntabel gældende fra'!$D$7%)),0)</f>
        <v>383617</v>
      </c>
      <c r="G102" s="183">
        <v>314703</v>
      </c>
      <c r="H102" s="187">
        <f>ROUND((G102*(1+'Løntabel gældende fra'!$D$7%)),0)</f>
        <v>386476</v>
      </c>
      <c r="I102" s="185">
        <v>318063</v>
      </c>
      <c r="J102" s="186">
        <f>ROUND((I102*(1+'Løntabel gældende fra'!$D$7%)),0)</f>
        <v>390603</v>
      </c>
      <c r="K102" s="183">
        <v>320390</v>
      </c>
      <c r="L102" s="187">
        <f>ROUND((K102*(1+'Løntabel gældende fra'!$D$7%)),0)</f>
        <v>393460</v>
      </c>
      <c r="M102" s="380"/>
      <c r="N102" s="359">
        <v>301881.8</v>
      </c>
      <c r="O102" s="360">
        <f>ROUND(N102*(1+'Løntabel gældende fra'!$D$7%),2)</f>
        <v>370731.08</v>
      </c>
    </row>
    <row r="103" spans="1:15" x14ac:dyDescent="0.25">
      <c r="A103" s="1636"/>
      <c r="B103" s="363" t="s">
        <v>200</v>
      </c>
      <c r="C103" s="366"/>
      <c r="D103" s="373">
        <f>ROUND(D102/12,2)</f>
        <v>31624.33</v>
      </c>
      <c r="E103" s="370">
        <f>E102/12</f>
        <v>26031.25</v>
      </c>
      <c r="F103" s="355">
        <f>ROUND(F102/12,2)</f>
        <v>31968.080000000002</v>
      </c>
      <c r="G103" s="366">
        <f>G102/12</f>
        <v>26225.25</v>
      </c>
      <c r="H103" s="373">
        <f>ROUND(H102/12,2)</f>
        <v>32206.33</v>
      </c>
      <c r="I103" s="370">
        <f>I102/12</f>
        <v>26505.25</v>
      </c>
      <c r="J103" s="355">
        <f>ROUND(J102/12,2)</f>
        <v>32550.25</v>
      </c>
      <c r="K103" s="366">
        <f>K102/12</f>
        <v>26699.166666666668</v>
      </c>
      <c r="L103" s="373">
        <f>ROUND(L102/12,2)</f>
        <v>32788.33</v>
      </c>
      <c r="M103" s="378"/>
      <c r="N103" s="356"/>
      <c r="O103" s="358">
        <f>ROUND(O102/12,2)</f>
        <v>30894.26</v>
      </c>
    </row>
    <row r="104" spans="1:15" ht="15.75" thickBot="1" x14ac:dyDescent="0.3">
      <c r="A104" s="1639"/>
      <c r="B104" s="365" t="s">
        <v>195</v>
      </c>
      <c r="C104" s="369">
        <f>C102/12</f>
        <v>25751.333333333332</v>
      </c>
      <c r="D104" s="189">
        <f>ROUND(D103/160.33,2)</f>
        <v>197.25</v>
      </c>
      <c r="E104" s="372"/>
      <c r="F104" s="189">
        <f t="shared" ref="F104:O104" si="33">ROUND(F103/160.33,2)</f>
        <v>199.39</v>
      </c>
      <c r="G104" s="189">
        <f t="shared" si="33"/>
        <v>163.57</v>
      </c>
      <c r="H104" s="189">
        <f t="shared" si="33"/>
        <v>200.88</v>
      </c>
      <c r="I104" s="189">
        <f t="shared" si="33"/>
        <v>165.32</v>
      </c>
      <c r="J104" s="189">
        <f t="shared" si="33"/>
        <v>203.02</v>
      </c>
      <c r="K104" s="189">
        <f t="shared" si="33"/>
        <v>166.53</v>
      </c>
      <c r="L104" s="189">
        <f t="shared" si="33"/>
        <v>204.51</v>
      </c>
      <c r="M104" s="189">
        <f t="shared" si="33"/>
        <v>0</v>
      </c>
      <c r="N104" s="189">
        <f t="shared" si="33"/>
        <v>0</v>
      </c>
      <c r="O104" s="189">
        <f t="shared" si="33"/>
        <v>192.69</v>
      </c>
    </row>
    <row r="105" spans="1:15" x14ac:dyDescent="0.25">
      <c r="A105" s="1638">
        <v>34</v>
      </c>
      <c r="B105" s="195" t="s">
        <v>96</v>
      </c>
      <c r="C105" s="191">
        <v>314298</v>
      </c>
      <c r="D105" s="184">
        <f>ROUND((C105*(1+'Løntabel gældende fra'!$D$7%)),0)</f>
        <v>385979</v>
      </c>
      <c r="E105" s="192">
        <v>317363</v>
      </c>
      <c r="F105" s="193">
        <f>ROUND((E105*(1+'Løntabel gældende fra'!$D$7%)),0)</f>
        <v>389743</v>
      </c>
      <c r="G105" s="191">
        <v>319485</v>
      </c>
      <c r="H105" s="184">
        <f>ROUND((G105*(1+'Løntabel gældende fra'!$D$7%)),0)</f>
        <v>392349</v>
      </c>
      <c r="I105" s="192">
        <v>322548</v>
      </c>
      <c r="J105" s="193">
        <f>ROUND((I105*(1+'Løntabel gældende fra'!$D$7%)),0)</f>
        <v>396111</v>
      </c>
      <c r="K105" s="191">
        <v>324670</v>
      </c>
      <c r="L105" s="184">
        <f>ROUND((K105*(1+'Løntabel gældende fra'!$D$7%)),0)</f>
        <v>398717</v>
      </c>
      <c r="M105" s="379"/>
      <c r="N105" s="357">
        <v>307790.62</v>
      </c>
      <c r="O105" s="198">
        <f>ROUND(N105*(1+'Løntabel gældende fra'!$D$7%),2)</f>
        <v>377987.5</v>
      </c>
    </row>
    <row r="106" spans="1:15" x14ac:dyDescent="0.25">
      <c r="A106" s="1636"/>
      <c r="B106" s="363" t="s">
        <v>200</v>
      </c>
      <c r="C106" s="366"/>
      <c r="D106" s="373">
        <f>ROUND(D105/12,2)</f>
        <v>32164.92</v>
      </c>
      <c r="E106" s="370">
        <f>E105/12</f>
        <v>26446.916666666668</v>
      </c>
      <c r="F106" s="355">
        <f>ROUND(F105/12,2)</f>
        <v>32478.58</v>
      </c>
      <c r="G106" s="366">
        <f>G105/12</f>
        <v>26623.75</v>
      </c>
      <c r="H106" s="373">
        <f>ROUND(H105/12,2)</f>
        <v>32695.75</v>
      </c>
      <c r="I106" s="370">
        <f>I105/12</f>
        <v>26879</v>
      </c>
      <c r="J106" s="355">
        <f>ROUND(J105/12,2)</f>
        <v>33009.25</v>
      </c>
      <c r="K106" s="366">
        <f>K105/12</f>
        <v>27055.833333333332</v>
      </c>
      <c r="L106" s="373">
        <f>ROUND(L105/12,2)</f>
        <v>33226.42</v>
      </c>
      <c r="M106" s="378"/>
      <c r="N106" s="356"/>
      <c r="O106" s="358">
        <f>ROUND(O105/12,2)</f>
        <v>31498.959999999999</v>
      </c>
    </row>
    <row r="107" spans="1:15" ht="15.75" thickBot="1" x14ac:dyDescent="0.3">
      <c r="A107" s="1637"/>
      <c r="B107" s="364" t="s">
        <v>195</v>
      </c>
      <c r="C107" s="188">
        <f>C105/12</f>
        <v>26191.5</v>
      </c>
      <c r="D107" s="189">
        <f>ROUND(D106/160.33,2)</f>
        <v>200.62</v>
      </c>
      <c r="E107" s="371"/>
      <c r="F107" s="189">
        <f t="shared" ref="F107:O107" si="34">ROUND(F106/160.33,2)</f>
        <v>202.57</v>
      </c>
      <c r="G107" s="189">
        <f t="shared" si="34"/>
        <v>166.06</v>
      </c>
      <c r="H107" s="189">
        <f t="shared" si="34"/>
        <v>203.93</v>
      </c>
      <c r="I107" s="189">
        <f t="shared" si="34"/>
        <v>167.65</v>
      </c>
      <c r="J107" s="189">
        <f t="shared" si="34"/>
        <v>205.88</v>
      </c>
      <c r="K107" s="189">
        <f t="shared" si="34"/>
        <v>168.75</v>
      </c>
      <c r="L107" s="189">
        <f t="shared" si="34"/>
        <v>207.24</v>
      </c>
      <c r="M107" s="189">
        <f t="shared" si="34"/>
        <v>0</v>
      </c>
      <c r="N107" s="189">
        <f t="shared" si="34"/>
        <v>0</v>
      </c>
      <c r="O107" s="189">
        <f t="shared" si="34"/>
        <v>196.46</v>
      </c>
    </row>
    <row r="108" spans="1:15" x14ac:dyDescent="0.25">
      <c r="A108" s="1635">
        <v>35</v>
      </c>
      <c r="B108" s="194" t="s">
        <v>96</v>
      </c>
      <c r="C108" s="183">
        <v>319697</v>
      </c>
      <c r="D108" s="187">
        <f>ROUND((C108*(1+'Løntabel gældende fra'!$D$7%)),0)</f>
        <v>392609</v>
      </c>
      <c r="E108" s="185">
        <v>322450</v>
      </c>
      <c r="F108" s="186">
        <f>ROUND((E108*(1+'Løntabel gældende fra'!$D$7%)),0)</f>
        <v>395990</v>
      </c>
      <c r="G108" s="183">
        <v>324354</v>
      </c>
      <c r="H108" s="187">
        <f>ROUND((G108*(1+'Løntabel gældende fra'!$D$7%)),0)</f>
        <v>398328</v>
      </c>
      <c r="I108" s="185">
        <v>327107</v>
      </c>
      <c r="J108" s="186">
        <f>ROUND((I108*(1+'Løntabel gældende fra'!$D$7%)),0)</f>
        <v>401709</v>
      </c>
      <c r="K108" s="183">
        <v>329011</v>
      </c>
      <c r="L108" s="187">
        <f>ROUND((K108*(1+'Løntabel gældende fra'!$D$7%)),0)</f>
        <v>404048</v>
      </c>
      <c r="M108" s="380"/>
      <c r="N108" s="359">
        <v>313854.56</v>
      </c>
      <c r="O108" s="360">
        <f>ROUND(N108*(1+'Løntabel gældende fra'!$D$7%),2)</f>
        <v>385434.43</v>
      </c>
    </row>
    <row r="109" spans="1:15" x14ac:dyDescent="0.25">
      <c r="A109" s="1636"/>
      <c r="B109" s="363" t="s">
        <v>200</v>
      </c>
      <c r="C109" s="366"/>
      <c r="D109" s="373">
        <f>ROUND(D108/12,2)</f>
        <v>32717.42</v>
      </c>
      <c r="E109" s="370">
        <f>E108/12</f>
        <v>26870.833333333332</v>
      </c>
      <c r="F109" s="355">
        <f>ROUND(F108/12,2)</f>
        <v>32999.17</v>
      </c>
      <c r="G109" s="366">
        <f>G108/12</f>
        <v>27029.5</v>
      </c>
      <c r="H109" s="373">
        <f>ROUND(H108/12,2)</f>
        <v>33194</v>
      </c>
      <c r="I109" s="370">
        <f>I108/12</f>
        <v>27258.916666666668</v>
      </c>
      <c r="J109" s="355">
        <f>ROUND(J108/12,2)</f>
        <v>33475.75</v>
      </c>
      <c r="K109" s="366">
        <f>K108/12</f>
        <v>27417.583333333332</v>
      </c>
      <c r="L109" s="373">
        <f>ROUND(L108/12,2)</f>
        <v>33670.67</v>
      </c>
      <c r="M109" s="378"/>
      <c r="N109" s="356"/>
      <c r="O109" s="358">
        <f>ROUND(O108/12,2)</f>
        <v>32119.54</v>
      </c>
    </row>
    <row r="110" spans="1:15" ht="15.75" thickBot="1" x14ac:dyDescent="0.3">
      <c r="A110" s="1639"/>
      <c r="B110" s="365" t="s">
        <v>195</v>
      </c>
      <c r="C110" s="369">
        <f>C108/12</f>
        <v>26641.416666666668</v>
      </c>
      <c r="D110" s="189">
        <f>ROUND(D109/160.33,2)</f>
        <v>204.06</v>
      </c>
      <c r="E110" s="372"/>
      <c r="F110" s="189">
        <f t="shared" ref="F110:O110" si="35">ROUND(F109/160.33,2)</f>
        <v>205.82</v>
      </c>
      <c r="G110" s="189">
        <f t="shared" si="35"/>
        <v>168.59</v>
      </c>
      <c r="H110" s="189">
        <f t="shared" si="35"/>
        <v>207.04</v>
      </c>
      <c r="I110" s="189">
        <f t="shared" si="35"/>
        <v>170.02</v>
      </c>
      <c r="J110" s="189">
        <f t="shared" si="35"/>
        <v>208.79</v>
      </c>
      <c r="K110" s="189">
        <f t="shared" si="35"/>
        <v>171.01</v>
      </c>
      <c r="L110" s="189">
        <f t="shared" si="35"/>
        <v>210.01</v>
      </c>
      <c r="M110" s="189">
        <f t="shared" si="35"/>
        <v>0</v>
      </c>
      <c r="N110" s="189">
        <f t="shared" si="35"/>
        <v>0</v>
      </c>
      <c r="O110" s="189">
        <f t="shared" si="35"/>
        <v>200.33</v>
      </c>
    </row>
    <row r="111" spans="1:15" x14ac:dyDescent="0.25">
      <c r="A111" s="1638">
        <v>36</v>
      </c>
      <c r="B111" s="195" t="s">
        <v>96</v>
      </c>
      <c r="C111" s="191">
        <v>325214</v>
      </c>
      <c r="D111" s="184">
        <f>ROUND((C111*(1+'Løntabel gældende fra'!$D$7%)),0)</f>
        <v>399385</v>
      </c>
      <c r="E111" s="192">
        <v>327634</v>
      </c>
      <c r="F111" s="193">
        <f>ROUND((E111*(1+'Løntabel gældende fra'!$D$7%)),0)</f>
        <v>402357</v>
      </c>
      <c r="G111" s="191">
        <v>329310</v>
      </c>
      <c r="H111" s="184">
        <f>ROUND((G111*(1+'Løntabel gældende fra'!$D$7%)),0)</f>
        <v>404415</v>
      </c>
      <c r="I111" s="192">
        <v>331731</v>
      </c>
      <c r="J111" s="193">
        <f>ROUND((I111*(1+'Løntabel gældende fra'!$D$7%)),0)</f>
        <v>407388</v>
      </c>
      <c r="K111" s="191">
        <v>333406</v>
      </c>
      <c r="L111" s="184">
        <f>ROUND((K111*(1+'Løntabel gældende fra'!$D$7%)),0)</f>
        <v>409445</v>
      </c>
      <c r="M111" s="379"/>
      <c r="N111" s="357">
        <v>320074.68</v>
      </c>
      <c r="O111" s="198">
        <f>ROUND(N111*(1+'Løntabel gældende fra'!$D$7%),2)</f>
        <v>393073.15</v>
      </c>
    </row>
    <row r="112" spans="1:15" x14ac:dyDescent="0.25">
      <c r="A112" s="1636"/>
      <c r="B112" s="363" t="s">
        <v>200</v>
      </c>
      <c r="C112" s="366"/>
      <c r="D112" s="373">
        <f>ROUND(D111/12,2)</f>
        <v>33282.080000000002</v>
      </c>
      <c r="E112" s="370">
        <f>E111/12</f>
        <v>27302.833333333332</v>
      </c>
      <c r="F112" s="355">
        <f>ROUND(F111/12,2)</f>
        <v>33529.75</v>
      </c>
      <c r="G112" s="366">
        <f>G111/12</f>
        <v>27442.5</v>
      </c>
      <c r="H112" s="373">
        <f>ROUND(H111/12,2)</f>
        <v>33701.25</v>
      </c>
      <c r="I112" s="370">
        <f>I111/12</f>
        <v>27644.25</v>
      </c>
      <c r="J112" s="355">
        <f>ROUND(J111/12,2)</f>
        <v>33949</v>
      </c>
      <c r="K112" s="366">
        <f>K111/12</f>
        <v>27783.833333333332</v>
      </c>
      <c r="L112" s="373">
        <f>ROUND(L111/12,2)</f>
        <v>34120.42</v>
      </c>
      <c r="M112" s="378"/>
      <c r="N112" s="356"/>
      <c r="O112" s="358">
        <f>ROUND(O111/12,2)</f>
        <v>32756.1</v>
      </c>
    </row>
    <row r="113" spans="1:15" ht="15.75" thickBot="1" x14ac:dyDescent="0.3">
      <c r="A113" s="1637"/>
      <c r="B113" s="364" t="s">
        <v>195</v>
      </c>
      <c r="C113" s="188">
        <f>C111/12</f>
        <v>27101.166666666668</v>
      </c>
      <c r="D113" s="189">
        <f>ROUND(D112/160.33,2)</f>
        <v>207.58</v>
      </c>
      <c r="E113" s="371"/>
      <c r="F113" s="189">
        <f t="shared" ref="F113:O113" si="36">ROUND(F112/160.33,2)</f>
        <v>209.13</v>
      </c>
      <c r="G113" s="189">
        <f t="shared" si="36"/>
        <v>171.16</v>
      </c>
      <c r="H113" s="189">
        <f t="shared" si="36"/>
        <v>210.2</v>
      </c>
      <c r="I113" s="189">
        <f t="shared" si="36"/>
        <v>172.42</v>
      </c>
      <c r="J113" s="189">
        <f t="shared" si="36"/>
        <v>211.74</v>
      </c>
      <c r="K113" s="189">
        <f t="shared" si="36"/>
        <v>173.29</v>
      </c>
      <c r="L113" s="189">
        <f t="shared" si="36"/>
        <v>212.81</v>
      </c>
      <c r="M113" s="189">
        <f t="shared" si="36"/>
        <v>0</v>
      </c>
      <c r="N113" s="189">
        <f t="shared" si="36"/>
        <v>0</v>
      </c>
      <c r="O113" s="189">
        <f t="shared" si="36"/>
        <v>204.3</v>
      </c>
    </row>
    <row r="114" spans="1:15" x14ac:dyDescent="0.25">
      <c r="A114" s="1635">
        <v>37</v>
      </c>
      <c r="B114" s="194" t="s">
        <v>96</v>
      </c>
      <c r="C114" s="183">
        <v>330853</v>
      </c>
      <c r="D114" s="187">
        <f>ROUND((C114*(1+'Løntabel gældende fra'!$D$7%)),0)</f>
        <v>406310</v>
      </c>
      <c r="E114" s="185">
        <v>332923</v>
      </c>
      <c r="F114" s="186">
        <f>ROUND((E114*(1+'Løntabel gældende fra'!$D$7%)),0)</f>
        <v>408852</v>
      </c>
      <c r="G114" s="183">
        <v>334355</v>
      </c>
      <c r="H114" s="187">
        <f>ROUND((G114*(1+'Løntabel gældende fra'!$D$7%)),0)</f>
        <v>410610</v>
      </c>
      <c r="I114" s="185">
        <v>336425</v>
      </c>
      <c r="J114" s="186">
        <f>ROUND((I114*(1+'Løntabel gældende fra'!$D$7%)),0)</f>
        <v>413152</v>
      </c>
      <c r="K114" s="183">
        <v>337859</v>
      </c>
      <c r="L114" s="187">
        <f>ROUND((K114*(1+'Løntabel gældende fra'!$D$7%)),0)</f>
        <v>414913</v>
      </c>
      <c r="M114" s="380"/>
      <c r="N114" s="359">
        <v>326457.34000000003</v>
      </c>
      <c r="O114" s="360">
        <f>ROUND(N114*(1+'Løntabel gældende fra'!$D$7%),2)</f>
        <v>400911.49</v>
      </c>
    </row>
    <row r="115" spans="1:15" x14ac:dyDescent="0.25">
      <c r="A115" s="1636"/>
      <c r="B115" s="363" t="s">
        <v>200</v>
      </c>
      <c r="C115" s="366"/>
      <c r="D115" s="373">
        <f>ROUND(D114/12,2)</f>
        <v>33859.17</v>
      </c>
      <c r="E115" s="370">
        <f>E114/12</f>
        <v>27743.583333333332</v>
      </c>
      <c r="F115" s="355">
        <f>ROUND(F114/12,2)</f>
        <v>34071</v>
      </c>
      <c r="G115" s="366">
        <f>G114/12</f>
        <v>27862.916666666668</v>
      </c>
      <c r="H115" s="373">
        <f>ROUND(H114/12,2)</f>
        <v>34217.5</v>
      </c>
      <c r="I115" s="370">
        <f>I114/12</f>
        <v>28035.416666666668</v>
      </c>
      <c r="J115" s="355">
        <f>ROUND(J114/12,2)</f>
        <v>34429.33</v>
      </c>
      <c r="K115" s="366">
        <f>K114/12</f>
        <v>28154.916666666668</v>
      </c>
      <c r="L115" s="373">
        <f>ROUND(L114/12,2)</f>
        <v>34576.080000000002</v>
      </c>
      <c r="M115" s="378"/>
      <c r="N115" s="356"/>
      <c r="O115" s="358">
        <f>ROUND(O114/12,2)</f>
        <v>33409.29</v>
      </c>
    </row>
    <row r="116" spans="1:15" ht="15.75" thickBot="1" x14ac:dyDescent="0.3">
      <c r="A116" s="1639"/>
      <c r="B116" s="365" t="s">
        <v>195</v>
      </c>
      <c r="C116" s="369">
        <f>C114/12</f>
        <v>27571.083333333332</v>
      </c>
      <c r="D116" s="189">
        <f>ROUND(D115/160.33,2)</f>
        <v>211.18</v>
      </c>
      <c r="E116" s="372"/>
      <c r="F116" s="189">
        <f t="shared" ref="F116:O116" si="37">ROUND(F115/160.33,2)</f>
        <v>212.51</v>
      </c>
      <c r="G116" s="189">
        <f t="shared" si="37"/>
        <v>173.78</v>
      </c>
      <c r="H116" s="189">
        <f t="shared" si="37"/>
        <v>213.42</v>
      </c>
      <c r="I116" s="189">
        <f t="shared" si="37"/>
        <v>174.86</v>
      </c>
      <c r="J116" s="189">
        <f t="shared" si="37"/>
        <v>214.74</v>
      </c>
      <c r="K116" s="189">
        <f t="shared" si="37"/>
        <v>175.61</v>
      </c>
      <c r="L116" s="189">
        <f t="shared" si="37"/>
        <v>215.66</v>
      </c>
      <c r="M116" s="189">
        <f t="shared" si="37"/>
        <v>0</v>
      </c>
      <c r="N116" s="189">
        <f t="shared" si="37"/>
        <v>0</v>
      </c>
      <c r="O116" s="189">
        <f t="shared" si="37"/>
        <v>208.38</v>
      </c>
    </row>
    <row r="117" spans="1:15" x14ac:dyDescent="0.25">
      <c r="A117" s="1638">
        <v>38</v>
      </c>
      <c r="B117" s="195" t="s">
        <v>96</v>
      </c>
      <c r="C117" s="191">
        <v>336808</v>
      </c>
      <c r="D117" s="184">
        <f>ROUND((C117*(1+'Løntabel gældende fra'!$D$7%)),0)</f>
        <v>413623</v>
      </c>
      <c r="E117" s="192">
        <v>338540</v>
      </c>
      <c r="F117" s="193">
        <f>ROUND((E117*(1+'Løntabel gældende fra'!$D$7%)),0)</f>
        <v>415750</v>
      </c>
      <c r="G117" s="191">
        <v>339739</v>
      </c>
      <c r="H117" s="184">
        <f>ROUND((G117*(1+'Løntabel gældende fra'!$D$7%)),0)</f>
        <v>417222</v>
      </c>
      <c r="I117" s="192">
        <v>341471</v>
      </c>
      <c r="J117" s="193">
        <f>ROUND((I117*(1+'Løntabel gældende fra'!$D$7%)),0)</f>
        <v>419349</v>
      </c>
      <c r="K117" s="191">
        <v>342672</v>
      </c>
      <c r="L117" s="184">
        <f>ROUND((K117*(1+'Løntabel gældende fra'!$D$7%)),0)</f>
        <v>420824</v>
      </c>
      <c r="M117" s="379"/>
      <c r="N117" s="357">
        <v>333128.88</v>
      </c>
      <c r="O117" s="198">
        <f>ROUND(N117*(1+'Løntabel gældende fra'!$D$7%),2)</f>
        <v>409104.58</v>
      </c>
    </row>
    <row r="118" spans="1:15" x14ac:dyDescent="0.25">
      <c r="A118" s="1636"/>
      <c r="B118" s="363" t="s">
        <v>200</v>
      </c>
      <c r="C118" s="366"/>
      <c r="D118" s="373">
        <f>ROUND(D117/12,2)</f>
        <v>34468.58</v>
      </c>
      <c r="E118" s="370">
        <f>E117/12</f>
        <v>28211.666666666668</v>
      </c>
      <c r="F118" s="355">
        <f>ROUND(F117/12,2)</f>
        <v>34645.83</v>
      </c>
      <c r="G118" s="366">
        <f>G117/12</f>
        <v>28311.583333333332</v>
      </c>
      <c r="H118" s="373">
        <f>ROUND(H117/12,2)</f>
        <v>34768.5</v>
      </c>
      <c r="I118" s="370">
        <f>I117/12</f>
        <v>28455.916666666668</v>
      </c>
      <c r="J118" s="355">
        <f>ROUND(J117/12,2)</f>
        <v>34945.75</v>
      </c>
      <c r="K118" s="366">
        <f>K117/12</f>
        <v>28556</v>
      </c>
      <c r="L118" s="373">
        <f>ROUND(L117/12,2)</f>
        <v>35068.67</v>
      </c>
      <c r="M118" s="378"/>
      <c r="N118" s="356"/>
      <c r="O118" s="358">
        <f>ROUND(O117/12,2)</f>
        <v>34092.050000000003</v>
      </c>
    </row>
    <row r="119" spans="1:15" ht="15.75" thickBot="1" x14ac:dyDescent="0.3">
      <c r="A119" s="1637"/>
      <c r="B119" s="364" t="s">
        <v>195</v>
      </c>
      <c r="C119" s="188">
        <f>C117/12</f>
        <v>28067.333333333332</v>
      </c>
      <c r="D119" s="189">
        <f>ROUND(D118/160.33,2)</f>
        <v>214.99</v>
      </c>
      <c r="E119" s="371"/>
      <c r="F119" s="189">
        <f t="shared" ref="F119:O119" si="38">ROUND(F118/160.33,2)</f>
        <v>216.09</v>
      </c>
      <c r="G119" s="189">
        <f t="shared" si="38"/>
        <v>176.58</v>
      </c>
      <c r="H119" s="189">
        <f t="shared" si="38"/>
        <v>216.86</v>
      </c>
      <c r="I119" s="189">
        <f t="shared" si="38"/>
        <v>177.48</v>
      </c>
      <c r="J119" s="189">
        <f t="shared" si="38"/>
        <v>217.96</v>
      </c>
      <c r="K119" s="189">
        <f t="shared" si="38"/>
        <v>178.11</v>
      </c>
      <c r="L119" s="189">
        <f t="shared" si="38"/>
        <v>218.73</v>
      </c>
      <c r="M119" s="189">
        <f t="shared" si="38"/>
        <v>0</v>
      </c>
      <c r="N119" s="189">
        <f t="shared" si="38"/>
        <v>0</v>
      </c>
      <c r="O119" s="189">
        <f t="shared" si="38"/>
        <v>212.64</v>
      </c>
    </row>
    <row r="120" spans="1:15" x14ac:dyDescent="0.25">
      <c r="A120" s="1635">
        <v>39</v>
      </c>
      <c r="B120" s="194" t="s">
        <v>96</v>
      </c>
      <c r="C120" s="183">
        <v>342821</v>
      </c>
      <c r="D120" s="187">
        <f>ROUND((C120*(1+'Løntabel gældende fra'!$D$7%)),0)</f>
        <v>421007</v>
      </c>
      <c r="E120" s="185">
        <v>344156</v>
      </c>
      <c r="F120" s="186">
        <f>ROUND((E120*(1+'Løntabel gældende fra'!$D$7%)),0)</f>
        <v>422647</v>
      </c>
      <c r="G120" s="183">
        <v>345080</v>
      </c>
      <c r="H120" s="187">
        <f>ROUND((G120*(1+'Løntabel gældende fra'!$D$7%)),0)</f>
        <v>423781</v>
      </c>
      <c r="I120" s="185">
        <v>346413</v>
      </c>
      <c r="J120" s="186">
        <f>ROUND((I120*(1+'Løntabel gældende fra'!$D$7%)),0)</f>
        <v>425418</v>
      </c>
      <c r="K120" s="183">
        <v>347337</v>
      </c>
      <c r="L120" s="187">
        <f>ROUND((K120*(1+'Løntabel gældende fra'!$D$7%)),0)</f>
        <v>426553</v>
      </c>
      <c r="M120" s="380"/>
      <c r="N120" s="359">
        <v>339989.41</v>
      </c>
      <c r="O120" s="360">
        <f>ROUND(N120*(1+'Løntabel gældende fra'!$D$7%),2)</f>
        <v>417529.77</v>
      </c>
    </row>
    <row r="121" spans="1:15" x14ac:dyDescent="0.25">
      <c r="A121" s="1636"/>
      <c r="B121" s="363" t="s">
        <v>200</v>
      </c>
      <c r="C121" s="366"/>
      <c r="D121" s="373">
        <f>ROUND(D120/12,2)</f>
        <v>35083.919999999998</v>
      </c>
      <c r="E121" s="370">
        <f>E120/12</f>
        <v>28679.666666666668</v>
      </c>
      <c r="F121" s="355">
        <f>ROUND(F120/12,2)</f>
        <v>35220.58</v>
      </c>
      <c r="G121" s="366">
        <f>G120/12</f>
        <v>28756.666666666668</v>
      </c>
      <c r="H121" s="373">
        <f>ROUND(H120/12,2)</f>
        <v>35315.08</v>
      </c>
      <c r="I121" s="370">
        <f>I120/12</f>
        <v>28867.75</v>
      </c>
      <c r="J121" s="355">
        <f>ROUND(J120/12,2)</f>
        <v>35451.5</v>
      </c>
      <c r="K121" s="366">
        <f>K120/12</f>
        <v>28944.75</v>
      </c>
      <c r="L121" s="373">
        <f>ROUND(L120/12,2)</f>
        <v>35546.080000000002</v>
      </c>
      <c r="M121" s="378"/>
      <c r="N121" s="356"/>
      <c r="O121" s="358">
        <f>ROUND(O120/12,2)</f>
        <v>34794.15</v>
      </c>
    </row>
    <row r="122" spans="1:15" ht="15.75" thickBot="1" x14ac:dyDescent="0.3">
      <c r="A122" s="1639"/>
      <c r="B122" s="365" t="s">
        <v>195</v>
      </c>
      <c r="C122" s="369">
        <f>C120/12</f>
        <v>28568.416666666668</v>
      </c>
      <c r="D122" s="189">
        <f>ROUND(D121/160.33,2)</f>
        <v>218.82</v>
      </c>
      <c r="E122" s="372"/>
      <c r="F122" s="189">
        <f t="shared" ref="F122:O122" si="39">ROUND(F121/160.33,2)</f>
        <v>219.68</v>
      </c>
      <c r="G122" s="189">
        <f t="shared" si="39"/>
        <v>179.36</v>
      </c>
      <c r="H122" s="189">
        <f t="shared" si="39"/>
        <v>220.26</v>
      </c>
      <c r="I122" s="189">
        <f t="shared" si="39"/>
        <v>180.05</v>
      </c>
      <c r="J122" s="189">
        <f t="shared" si="39"/>
        <v>221.12</v>
      </c>
      <c r="K122" s="189">
        <f t="shared" si="39"/>
        <v>180.53</v>
      </c>
      <c r="L122" s="189">
        <f t="shared" si="39"/>
        <v>221.71</v>
      </c>
      <c r="M122" s="189">
        <f t="shared" si="39"/>
        <v>0</v>
      </c>
      <c r="N122" s="189">
        <f t="shared" si="39"/>
        <v>0</v>
      </c>
      <c r="O122" s="189">
        <f t="shared" si="39"/>
        <v>217.02</v>
      </c>
    </row>
    <row r="123" spans="1:15" x14ac:dyDescent="0.25">
      <c r="A123" s="1638">
        <v>40</v>
      </c>
      <c r="B123" s="195" t="s">
        <v>96</v>
      </c>
      <c r="C123" s="191">
        <v>348966</v>
      </c>
      <c r="D123" s="184">
        <f>ROUND((C123*(1+'Løntabel gældende fra'!$D$7%)),0)</f>
        <v>428554</v>
      </c>
      <c r="E123" s="192">
        <v>349878</v>
      </c>
      <c r="F123" s="193">
        <f>ROUND((E123*(1+'Løntabel gældende fra'!$D$7%)),0)</f>
        <v>429674</v>
      </c>
      <c r="G123" s="191">
        <v>350510</v>
      </c>
      <c r="H123" s="184">
        <f>ROUND((G123*(1+'Løntabel gældende fra'!$D$7%)),0)</f>
        <v>430450</v>
      </c>
      <c r="I123" s="192">
        <v>351422</v>
      </c>
      <c r="J123" s="193">
        <f>ROUND((I123*(1+'Løntabel gældende fra'!$D$7%)),0)</f>
        <v>431570</v>
      </c>
      <c r="K123" s="191">
        <v>352054</v>
      </c>
      <c r="L123" s="184">
        <f>ROUND((K123*(1+'Løntabel gældende fra'!$D$7%)),0)</f>
        <v>432346</v>
      </c>
      <c r="M123" s="379"/>
      <c r="N123" s="357">
        <v>347027.46</v>
      </c>
      <c r="O123" s="198">
        <f>ROUND(N123*(1+'Løntabel gældende fra'!$D$7%),2)</f>
        <v>426172.97</v>
      </c>
    </row>
    <row r="124" spans="1:15" x14ac:dyDescent="0.25">
      <c r="A124" s="1636"/>
      <c r="B124" s="363" t="s">
        <v>200</v>
      </c>
      <c r="C124" s="366"/>
      <c r="D124" s="373">
        <f>ROUND(D123/12,2)</f>
        <v>35712.83</v>
      </c>
      <c r="E124" s="370">
        <f>E123/12</f>
        <v>29156.5</v>
      </c>
      <c r="F124" s="355">
        <f>ROUND(F123/12,2)</f>
        <v>35806.17</v>
      </c>
      <c r="G124" s="366">
        <f>G123/12</f>
        <v>29209.166666666668</v>
      </c>
      <c r="H124" s="373">
        <f>ROUND(H123/12,2)</f>
        <v>35870.83</v>
      </c>
      <c r="I124" s="370">
        <f>I123/12</f>
        <v>29285.166666666668</v>
      </c>
      <c r="J124" s="355">
        <f>ROUND(J123/12,2)</f>
        <v>35964.17</v>
      </c>
      <c r="K124" s="366">
        <f>K123/12</f>
        <v>29337.833333333332</v>
      </c>
      <c r="L124" s="373">
        <f>ROUND(L123/12,2)</f>
        <v>36028.83</v>
      </c>
      <c r="M124" s="378"/>
      <c r="N124" s="356"/>
      <c r="O124" s="358">
        <f>ROUND(O123/12,2)</f>
        <v>35514.410000000003</v>
      </c>
    </row>
    <row r="125" spans="1:15" ht="15.75" thickBot="1" x14ac:dyDescent="0.3">
      <c r="A125" s="1637"/>
      <c r="B125" s="364" t="s">
        <v>195</v>
      </c>
      <c r="C125" s="188">
        <f>C123/12</f>
        <v>29080.5</v>
      </c>
      <c r="D125" s="189">
        <f>ROUND(D124/160.33,2)</f>
        <v>222.75</v>
      </c>
      <c r="E125" s="371"/>
      <c r="F125" s="189">
        <f t="shared" ref="F125:O125" si="40">ROUND(F124/160.33,2)</f>
        <v>223.33</v>
      </c>
      <c r="G125" s="189">
        <f t="shared" si="40"/>
        <v>182.18</v>
      </c>
      <c r="H125" s="189">
        <f t="shared" si="40"/>
        <v>223.73</v>
      </c>
      <c r="I125" s="189">
        <f t="shared" si="40"/>
        <v>182.66</v>
      </c>
      <c r="J125" s="189">
        <f t="shared" si="40"/>
        <v>224.31</v>
      </c>
      <c r="K125" s="189">
        <f t="shared" si="40"/>
        <v>182.98</v>
      </c>
      <c r="L125" s="189">
        <f t="shared" si="40"/>
        <v>224.72</v>
      </c>
      <c r="M125" s="189">
        <f t="shared" si="40"/>
        <v>0</v>
      </c>
      <c r="N125" s="189">
        <f t="shared" si="40"/>
        <v>0</v>
      </c>
      <c r="O125" s="189">
        <f t="shared" si="40"/>
        <v>221.51</v>
      </c>
    </row>
    <row r="126" spans="1:15" x14ac:dyDescent="0.25">
      <c r="A126" s="1635">
        <v>41</v>
      </c>
      <c r="B126" s="194" t="s">
        <v>96</v>
      </c>
      <c r="C126" s="183">
        <v>355245</v>
      </c>
      <c r="D126" s="187">
        <f>ROUND((C126*(1+'Løntabel gældende fra'!$D$7%)),0)</f>
        <v>436265</v>
      </c>
      <c r="E126" s="185">
        <v>355712</v>
      </c>
      <c r="F126" s="186">
        <f>ROUND((E126*(1+'Løntabel gældende fra'!$D$7%)),0)</f>
        <v>436838</v>
      </c>
      <c r="G126" s="183">
        <v>356037</v>
      </c>
      <c r="H126" s="187">
        <f>ROUND((G126*(1+'Løntabel gældende fra'!$D$7%)),0)</f>
        <v>437237</v>
      </c>
      <c r="I126" s="185">
        <v>356505</v>
      </c>
      <c r="J126" s="186">
        <f>ROUND((I126*(1+'Løntabel gældende fra'!$D$7%)),0)</f>
        <v>437812</v>
      </c>
      <c r="K126" s="183">
        <v>356828</v>
      </c>
      <c r="L126" s="187">
        <f>ROUND((K126*(1+'Løntabel gældende fra'!$D$7%)),0)</f>
        <v>438209</v>
      </c>
      <c r="M126" s="380"/>
      <c r="N126" s="359">
        <v>354249.23</v>
      </c>
      <c r="O126" s="360">
        <f>ROUND(N126*(1+'Løntabel gældende fra'!$D$7%),2)</f>
        <v>435041.79</v>
      </c>
    </row>
    <row r="127" spans="1:15" x14ac:dyDescent="0.25">
      <c r="A127" s="1636"/>
      <c r="B127" s="363" t="s">
        <v>200</v>
      </c>
      <c r="C127" s="366"/>
      <c r="D127" s="373">
        <f>ROUND(D126/12,2)</f>
        <v>36355.42</v>
      </c>
      <c r="E127" s="370">
        <f>E126/12</f>
        <v>29642.666666666668</v>
      </c>
      <c r="F127" s="355">
        <f>ROUND(F126/12,2)</f>
        <v>36403.17</v>
      </c>
      <c r="G127" s="366">
        <f>G126/12</f>
        <v>29669.75</v>
      </c>
      <c r="H127" s="373">
        <f>ROUND(H126/12,2)</f>
        <v>36436.42</v>
      </c>
      <c r="I127" s="370">
        <f>I126/12</f>
        <v>29708.75</v>
      </c>
      <c r="J127" s="355">
        <f>ROUND(J126/12,2)</f>
        <v>36484.33</v>
      </c>
      <c r="K127" s="366">
        <f>K126/12</f>
        <v>29735.666666666668</v>
      </c>
      <c r="L127" s="373">
        <f>ROUND(L126/12,2)</f>
        <v>36517.42</v>
      </c>
      <c r="M127" s="378"/>
      <c r="N127" s="356"/>
      <c r="O127" s="358">
        <f>ROUND(O126/12,2)</f>
        <v>36253.480000000003</v>
      </c>
    </row>
    <row r="128" spans="1:15" ht="15.75" thickBot="1" x14ac:dyDescent="0.3">
      <c r="A128" s="1639"/>
      <c r="B128" s="365" t="s">
        <v>195</v>
      </c>
      <c r="C128" s="369">
        <f>C126/12</f>
        <v>29603.75</v>
      </c>
      <c r="D128" s="189">
        <f>ROUND(D127/160.33,2)</f>
        <v>226.75</v>
      </c>
      <c r="E128" s="372"/>
      <c r="F128" s="189">
        <f t="shared" ref="F128:O128" si="41">ROUND(F127/160.33,2)</f>
        <v>227.05</v>
      </c>
      <c r="G128" s="189">
        <f t="shared" si="41"/>
        <v>185.05</v>
      </c>
      <c r="H128" s="189">
        <f t="shared" si="41"/>
        <v>227.26</v>
      </c>
      <c r="I128" s="189">
        <f t="shared" si="41"/>
        <v>185.3</v>
      </c>
      <c r="J128" s="189">
        <f t="shared" si="41"/>
        <v>227.56</v>
      </c>
      <c r="K128" s="189">
        <f t="shared" si="41"/>
        <v>185.47</v>
      </c>
      <c r="L128" s="189">
        <f t="shared" si="41"/>
        <v>227.76</v>
      </c>
      <c r="M128" s="189">
        <f t="shared" si="41"/>
        <v>0</v>
      </c>
      <c r="N128" s="189">
        <f t="shared" si="41"/>
        <v>0</v>
      </c>
      <c r="O128" s="189">
        <f t="shared" si="41"/>
        <v>226.12</v>
      </c>
    </row>
    <row r="129" spans="1:15" x14ac:dyDescent="0.25">
      <c r="A129" s="1638">
        <v>42</v>
      </c>
      <c r="B129" s="195" t="s">
        <v>96</v>
      </c>
      <c r="C129" s="191">
        <v>361660</v>
      </c>
      <c r="D129" s="184">
        <f>ROUND((C129*(1+'Løntabel gældende fra'!$D$7%)),0)</f>
        <v>444143</v>
      </c>
      <c r="E129" s="192">
        <v>361660</v>
      </c>
      <c r="F129" s="193">
        <f>ROUND((E129*(1+'Løntabel gældende fra'!$D$7%)),0)</f>
        <v>444143</v>
      </c>
      <c r="G129" s="191">
        <v>361660</v>
      </c>
      <c r="H129" s="184">
        <f>ROUND((G129*(1+'Løntabel gældende fra'!$D$7%)),0)</f>
        <v>444143</v>
      </c>
      <c r="I129" s="192">
        <v>361660</v>
      </c>
      <c r="J129" s="193">
        <f>ROUND((I129*(1+'Løntabel gældende fra'!$D$7%)),0)</f>
        <v>444143</v>
      </c>
      <c r="K129" s="191">
        <v>361660</v>
      </c>
      <c r="L129" s="184">
        <f>ROUND((K129*(1+'Løntabel gældende fra'!$D$7%)),0)</f>
        <v>444143</v>
      </c>
      <c r="M129" s="379"/>
      <c r="N129" s="357">
        <v>361659.2</v>
      </c>
      <c r="O129" s="198">
        <f>ROUND(N129*(1+'Løntabel gældende fra'!$D$7%),2)</f>
        <v>444141.73</v>
      </c>
    </row>
    <row r="130" spans="1:15" x14ac:dyDescent="0.25">
      <c r="A130" s="1636"/>
      <c r="B130" s="363" t="s">
        <v>200</v>
      </c>
      <c r="C130" s="366"/>
      <c r="D130" s="373">
        <f>ROUND(D129/12,2)</f>
        <v>37011.919999999998</v>
      </c>
      <c r="E130" s="370">
        <f>E129/12</f>
        <v>30138.333333333332</v>
      </c>
      <c r="F130" s="355">
        <f>ROUND(F129/12,2)</f>
        <v>37011.919999999998</v>
      </c>
      <c r="G130" s="366">
        <f>G129/12</f>
        <v>30138.333333333332</v>
      </c>
      <c r="H130" s="373">
        <f>ROUND(H129/12,2)</f>
        <v>37011.919999999998</v>
      </c>
      <c r="I130" s="370">
        <f>I129/12</f>
        <v>30138.333333333332</v>
      </c>
      <c r="J130" s="355">
        <f>ROUND(J129/12,2)</f>
        <v>37011.919999999998</v>
      </c>
      <c r="K130" s="366">
        <f>K129/12</f>
        <v>30138.333333333332</v>
      </c>
      <c r="L130" s="373">
        <f>ROUND(L129/12,2)</f>
        <v>37011.919999999998</v>
      </c>
      <c r="M130" s="378"/>
      <c r="N130" s="356"/>
      <c r="O130" s="358">
        <f>ROUND(O129/12,2)</f>
        <v>37011.81</v>
      </c>
    </row>
    <row r="131" spans="1:15" ht="15.75" thickBot="1" x14ac:dyDescent="0.3">
      <c r="A131" s="1637"/>
      <c r="B131" s="364" t="s">
        <v>195</v>
      </c>
      <c r="C131" s="188">
        <f>C129/12</f>
        <v>30138.333333333332</v>
      </c>
      <c r="D131" s="189">
        <f>ROUND(D130/160.33,2)</f>
        <v>230.85</v>
      </c>
      <c r="E131" s="371"/>
      <c r="F131" s="189">
        <f t="shared" ref="F131:O131" si="42">ROUND(F130/160.33,2)</f>
        <v>230.85</v>
      </c>
      <c r="G131" s="189">
        <f t="shared" si="42"/>
        <v>187.98</v>
      </c>
      <c r="H131" s="189">
        <f t="shared" si="42"/>
        <v>230.85</v>
      </c>
      <c r="I131" s="189">
        <f t="shared" si="42"/>
        <v>187.98</v>
      </c>
      <c r="J131" s="189">
        <f t="shared" si="42"/>
        <v>230.85</v>
      </c>
      <c r="K131" s="189">
        <f t="shared" si="42"/>
        <v>187.98</v>
      </c>
      <c r="L131" s="189">
        <f t="shared" si="42"/>
        <v>230.85</v>
      </c>
      <c r="M131" s="189">
        <f t="shared" si="42"/>
        <v>0</v>
      </c>
      <c r="N131" s="189">
        <f t="shared" si="42"/>
        <v>0</v>
      </c>
      <c r="O131" s="189">
        <f t="shared" si="42"/>
        <v>230.85</v>
      </c>
    </row>
    <row r="132" spans="1:15" x14ac:dyDescent="0.25">
      <c r="A132" s="1635">
        <v>43</v>
      </c>
      <c r="B132" s="194" t="s">
        <v>96</v>
      </c>
      <c r="C132" s="183">
        <v>369689</v>
      </c>
      <c r="D132" s="187">
        <f>ROUND((C132*(1+'Løntabel gældende fra'!$D$7%)),0)</f>
        <v>454003</v>
      </c>
      <c r="E132" s="185">
        <v>369689</v>
      </c>
      <c r="F132" s="186">
        <f>ROUND((E132*(1+'Løntabel gældende fra'!$D$7%)),0)</f>
        <v>454003</v>
      </c>
      <c r="G132" s="183">
        <v>369689</v>
      </c>
      <c r="H132" s="187">
        <f>ROUND((G132*(1+'Løntabel gældende fra'!$D$7%)),0)</f>
        <v>454003</v>
      </c>
      <c r="I132" s="185">
        <v>369689</v>
      </c>
      <c r="J132" s="186">
        <f>ROUND((I132*(1+'Løntabel gældende fra'!$D$7%)),0)</f>
        <v>454003</v>
      </c>
      <c r="K132" s="183">
        <v>369689</v>
      </c>
      <c r="L132" s="187">
        <f>ROUND((K132*(1+'Løntabel gældende fra'!$D$7%)),0)</f>
        <v>454003</v>
      </c>
      <c r="M132" s="380"/>
      <c r="N132" s="359">
        <v>369688.53</v>
      </c>
      <c r="O132" s="360">
        <f>ROUND(N132*(1+'Løntabel gældende fra'!$D$7%),2)</f>
        <v>454002.28</v>
      </c>
    </row>
    <row r="133" spans="1:15" x14ac:dyDescent="0.25">
      <c r="A133" s="1636"/>
      <c r="B133" s="363" t="s">
        <v>200</v>
      </c>
      <c r="C133" s="366"/>
      <c r="D133" s="373">
        <f>ROUND(D132/12,2)</f>
        <v>37833.58</v>
      </c>
      <c r="E133" s="370">
        <f>E132/12</f>
        <v>30807.416666666668</v>
      </c>
      <c r="F133" s="355">
        <f>ROUND(F132/12,2)</f>
        <v>37833.58</v>
      </c>
      <c r="G133" s="366">
        <f>G132/12</f>
        <v>30807.416666666668</v>
      </c>
      <c r="H133" s="373">
        <f>ROUND(H132/12,2)</f>
        <v>37833.58</v>
      </c>
      <c r="I133" s="370">
        <f>I132/12</f>
        <v>30807.416666666668</v>
      </c>
      <c r="J133" s="355">
        <f>ROUND(J132/12,2)</f>
        <v>37833.58</v>
      </c>
      <c r="K133" s="366">
        <f>K132/12</f>
        <v>30807.416666666668</v>
      </c>
      <c r="L133" s="373">
        <f>ROUND(L132/12,2)</f>
        <v>37833.58</v>
      </c>
      <c r="M133" s="378"/>
      <c r="N133" s="356"/>
      <c r="O133" s="358">
        <f>ROUND(O132/12,2)</f>
        <v>37833.519999999997</v>
      </c>
    </row>
    <row r="134" spans="1:15" ht="15.75" thickBot="1" x14ac:dyDescent="0.3">
      <c r="A134" s="1639"/>
      <c r="B134" s="365" t="s">
        <v>195</v>
      </c>
      <c r="C134" s="369">
        <f>C132/12</f>
        <v>30807.416666666668</v>
      </c>
      <c r="D134" s="189">
        <f>ROUND(D133/160.33,2)</f>
        <v>235.97</v>
      </c>
      <c r="E134" s="372"/>
      <c r="F134" s="189">
        <f t="shared" ref="F134:O134" si="43">ROUND(F133/160.33,2)</f>
        <v>235.97</v>
      </c>
      <c r="G134" s="189">
        <f t="shared" si="43"/>
        <v>192.15</v>
      </c>
      <c r="H134" s="189">
        <f t="shared" si="43"/>
        <v>235.97</v>
      </c>
      <c r="I134" s="189">
        <f t="shared" si="43"/>
        <v>192.15</v>
      </c>
      <c r="J134" s="189">
        <f t="shared" si="43"/>
        <v>235.97</v>
      </c>
      <c r="K134" s="189">
        <f t="shared" si="43"/>
        <v>192.15</v>
      </c>
      <c r="L134" s="189">
        <f t="shared" si="43"/>
        <v>235.97</v>
      </c>
      <c r="M134" s="189">
        <f t="shared" si="43"/>
        <v>0</v>
      </c>
      <c r="N134" s="189">
        <f t="shared" si="43"/>
        <v>0</v>
      </c>
      <c r="O134" s="189">
        <f t="shared" si="43"/>
        <v>235.97</v>
      </c>
    </row>
    <row r="135" spans="1:15" x14ac:dyDescent="0.25">
      <c r="A135" s="1638">
        <v>44</v>
      </c>
      <c r="B135" s="195" t="s">
        <v>96</v>
      </c>
      <c r="C135" s="191">
        <v>377937</v>
      </c>
      <c r="D135" s="184">
        <f>ROUND((C135*(1+'Løntabel gældende fra'!$D$7%)),0)</f>
        <v>464132</v>
      </c>
      <c r="E135" s="192">
        <v>377937</v>
      </c>
      <c r="F135" s="193">
        <f>ROUND((E135*(1+'Løntabel gældende fra'!$D$7%)),0)</f>
        <v>464132</v>
      </c>
      <c r="G135" s="191">
        <v>377937</v>
      </c>
      <c r="H135" s="184">
        <f>ROUND((G135*(1+'Løntabel gældende fra'!$D$7%)),0)</f>
        <v>464132</v>
      </c>
      <c r="I135" s="192">
        <v>377937</v>
      </c>
      <c r="J135" s="193">
        <f>ROUND((I135*(1+'Løntabel gældende fra'!$D$7%)),0)</f>
        <v>464132</v>
      </c>
      <c r="K135" s="191">
        <v>377937</v>
      </c>
      <c r="L135" s="184">
        <f>ROUND((K135*(1+'Løntabel gældende fra'!$D$7%)),0)</f>
        <v>464132</v>
      </c>
      <c r="M135" s="379"/>
      <c r="N135" s="357">
        <v>377937.3</v>
      </c>
      <c r="O135" s="198">
        <f>ROUND(N135*(1+'Løntabel gældende fra'!$D$7%),2)</f>
        <v>464132.33</v>
      </c>
    </row>
    <row r="136" spans="1:15" x14ac:dyDescent="0.25">
      <c r="A136" s="1636"/>
      <c r="B136" s="363" t="s">
        <v>200</v>
      </c>
      <c r="C136" s="366"/>
      <c r="D136" s="373">
        <f>ROUND(D135/12,2)</f>
        <v>38677.67</v>
      </c>
      <c r="E136" s="370">
        <f>E135/12</f>
        <v>31494.75</v>
      </c>
      <c r="F136" s="355">
        <f>ROUND(F135/12,2)</f>
        <v>38677.67</v>
      </c>
      <c r="G136" s="366">
        <f>G135/12</f>
        <v>31494.75</v>
      </c>
      <c r="H136" s="373">
        <f>ROUND(H135/12,2)</f>
        <v>38677.67</v>
      </c>
      <c r="I136" s="370">
        <f>I135/12</f>
        <v>31494.75</v>
      </c>
      <c r="J136" s="355">
        <f>ROUND(J135/12,2)</f>
        <v>38677.67</v>
      </c>
      <c r="K136" s="366">
        <f>K135/12</f>
        <v>31494.75</v>
      </c>
      <c r="L136" s="373">
        <f>ROUND(L135/12,2)</f>
        <v>38677.67</v>
      </c>
      <c r="M136" s="378"/>
      <c r="N136" s="356"/>
      <c r="O136" s="358">
        <f>ROUND(O135/12,2)</f>
        <v>38677.69</v>
      </c>
    </row>
    <row r="137" spans="1:15" ht="15.75" thickBot="1" x14ac:dyDescent="0.3">
      <c r="A137" s="1637"/>
      <c r="B137" s="364" t="s">
        <v>195</v>
      </c>
      <c r="C137" s="188">
        <f>C135/12</f>
        <v>31494.75</v>
      </c>
      <c r="D137" s="189">
        <f>ROUND(D136/160.33,2)</f>
        <v>241.24</v>
      </c>
      <c r="E137" s="371"/>
      <c r="F137" s="189">
        <f t="shared" ref="F137:O137" si="44">ROUND(F136/160.33,2)</f>
        <v>241.24</v>
      </c>
      <c r="G137" s="189">
        <f t="shared" si="44"/>
        <v>196.44</v>
      </c>
      <c r="H137" s="189">
        <f t="shared" si="44"/>
        <v>241.24</v>
      </c>
      <c r="I137" s="189">
        <f t="shared" si="44"/>
        <v>196.44</v>
      </c>
      <c r="J137" s="189">
        <f t="shared" si="44"/>
        <v>241.24</v>
      </c>
      <c r="K137" s="189">
        <f t="shared" si="44"/>
        <v>196.44</v>
      </c>
      <c r="L137" s="189">
        <f t="shared" si="44"/>
        <v>241.24</v>
      </c>
      <c r="M137" s="189">
        <f t="shared" si="44"/>
        <v>0</v>
      </c>
      <c r="N137" s="189">
        <f t="shared" si="44"/>
        <v>0</v>
      </c>
      <c r="O137" s="189">
        <f t="shared" si="44"/>
        <v>241.24</v>
      </c>
    </row>
    <row r="138" spans="1:15" x14ac:dyDescent="0.25">
      <c r="A138" s="1638">
        <v>45</v>
      </c>
      <c r="B138" s="195" t="s">
        <v>96</v>
      </c>
      <c r="C138" s="191">
        <v>386414</v>
      </c>
      <c r="D138" s="184">
        <f>ROUND((C138*(1+'Løntabel gældende fra'!$D$7%)),0)</f>
        <v>474542</v>
      </c>
      <c r="E138" s="192">
        <v>386414</v>
      </c>
      <c r="F138" s="193">
        <f>ROUND((E138*(1+'Løntabel gældende fra'!$D$7%)),0)</f>
        <v>474542</v>
      </c>
      <c r="G138" s="191">
        <v>386414</v>
      </c>
      <c r="H138" s="184">
        <f>ROUND((G138*(1+'Løntabel gældende fra'!$D$7%)),0)</f>
        <v>474542</v>
      </c>
      <c r="I138" s="192">
        <v>386414</v>
      </c>
      <c r="J138" s="193">
        <f>ROUND((I138*(1+'Løntabel gældende fra'!$D$7%)),0)</f>
        <v>474542</v>
      </c>
      <c r="K138" s="191">
        <v>386414</v>
      </c>
      <c r="L138" s="184">
        <f>ROUND((K138*(1+'Løntabel gældende fra'!$D$7%)),0)</f>
        <v>474542</v>
      </c>
      <c r="M138" s="379"/>
      <c r="N138" s="357">
        <v>386414.29</v>
      </c>
      <c r="O138" s="198">
        <f>ROUND(N138*(1+'Løntabel gældende fra'!$D$7%),2)</f>
        <v>474542.64</v>
      </c>
    </row>
    <row r="139" spans="1:15" x14ac:dyDescent="0.25">
      <c r="A139" s="1636"/>
      <c r="B139" s="363" t="s">
        <v>200</v>
      </c>
      <c r="C139" s="366"/>
      <c r="D139" s="373">
        <f>ROUND(D138/12,2)</f>
        <v>39545.17</v>
      </c>
      <c r="E139" s="370">
        <f>E138/12</f>
        <v>32201.166666666668</v>
      </c>
      <c r="F139" s="355">
        <f>ROUND(F138/12,2)</f>
        <v>39545.17</v>
      </c>
      <c r="G139" s="366">
        <f>G138/12</f>
        <v>32201.166666666668</v>
      </c>
      <c r="H139" s="373">
        <f>ROUND(H138/12,2)</f>
        <v>39545.17</v>
      </c>
      <c r="I139" s="370">
        <f>I138/12</f>
        <v>32201.166666666668</v>
      </c>
      <c r="J139" s="355">
        <f>ROUND(J138/12,2)</f>
        <v>39545.17</v>
      </c>
      <c r="K139" s="366">
        <f>K138/12</f>
        <v>32201.166666666668</v>
      </c>
      <c r="L139" s="373">
        <f>ROUND(L138/12,2)</f>
        <v>39545.17</v>
      </c>
      <c r="M139" s="378"/>
      <c r="N139" s="356"/>
      <c r="O139" s="358">
        <f>ROUND(O138/12,2)</f>
        <v>39545.22</v>
      </c>
    </row>
    <row r="140" spans="1:15" ht="15.75" thickBot="1" x14ac:dyDescent="0.3">
      <c r="A140" s="1637"/>
      <c r="B140" s="364" t="s">
        <v>195</v>
      </c>
      <c r="C140" s="188">
        <f>C138/12</f>
        <v>32201.166666666668</v>
      </c>
      <c r="D140" s="189">
        <f>ROUND(D139/160.33,2)</f>
        <v>246.65</v>
      </c>
      <c r="E140" s="371"/>
      <c r="F140" s="189">
        <f t="shared" ref="F140:O140" si="45">ROUND(F139/160.33,2)</f>
        <v>246.65</v>
      </c>
      <c r="G140" s="189">
        <f t="shared" si="45"/>
        <v>200.84</v>
      </c>
      <c r="H140" s="189">
        <f t="shared" si="45"/>
        <v>246.65</v>
      </c>
      <c r="I140" s="189">
        <f t="shared" si="45"/>
        <v>200.84</v>
      </c>
      <c r="J140" s="189">
        <f t="shared" si="45"/>
        <v>246.65</v>
      </c>
      <c r="K140" s="189">
        <f t="shared" si="45"/>
        <v>200.84</v>
      </c>
      <c r="L140" s="189">
        <f t="shared" si="45"/>
        <v>246.65</v>
      </c>
      <c r="M140" s="189">
        <f t="shared" si="45"/>
        <v>0</v>
      </c>
      <c r="N140" s="189">
        <f t="shared" si="45"/>
        <v>0</v>
      </c>
      <c r="O140" s="189">
        <f t="shared" si="45"/>
        <v>246.65</v>
      </c>
    </row>
    <row r="141" spans="1:15" x14ac:dyDescent="0.25">
      <c r="A141" s="1638">
        <v>46</v>
      </c>
      <c r="B141" s="195" t="s">
        <v>96</v>
      </c>
      <c r="C141" s="191">
        <v>395125</v>
      </c>
      <c r="D141" s="184">
        <f>ROUND((C141*(1+'Løntabel gældende fra'!$D$7%)),0)</f>
        <v>485240</v>
      </c>
      <c r="E141" s="192">
        <v>395125</v>
      </c>
      <c r="F141" s="193">
        <f>ROUND((E141*(1+'Løntabel gældende fra'!$D$7%)),0)</f>
        <v>485240</v>
      </c>
      <c r="G141" s="191">
        <v>395125</v>
      </c>
      <c r="H141" s="184">
        <f>ROUND((G141*(1+'Løntabel gældende fra'!$D$7%)),0)</f>
        <v>485240</v>
      </c>
      <c r="I141" s="192">
        <v>395125</v>
      </c>
      <c r="J141" s="193">
        <f>ROUND((I141*(1+'Løntabel gældende fra'!$D$7%)),0)</f>
        <v>485240</v>
      </c>
      <c r="K141" s="191">
        <v>395125</v>
      </c>
      <c r="L141" s="184">
        <f>ROUND((K141*(1+'Løntabel gældende fra'!$D$7%)),0)</f>
        <v>485240</v>
      </c>
      <c r="M141" s="379"/>
      <c r="N141" s="357">
        <v>395124.74</v>
      </c>
      <c r="O141" s="198">
        <f>ROUND(N141*(1+'Løntabel gældende fra'!$D$7%),2)</f>
        <v>485239.65</v>
      </c>
    </row>
    <row r="142" spans="1:15" x14ac:dyDescent="0.25">
      <c r="A142" s="1636"/>
      <c r="B142" s="363" t="s">
        <v>97</v>
      </c>
      <c r="C142" s="366"/>
      <c r="D142" s="373">
        <f>ROUND(D141/12,2)</f>
        <v>40436.67</v>
      </c>
      <c r="E142" s="370">
        <f>E141/12</f>
        <v>32927.083333333336</v>
      </c>
      <c r="F142" s="355">
        <f>ROUND(F141/12,2)</f>
        <v>40436.67</v>
      </c>
      <c r="G142" s="366">
        <f>G141/12</f>
        <v>32927.083333333336</v>
      </c>
      <c r="H142" s="373">
        <f>ROUND(H141/12,2)</f>
        <v>40436.67</v>
      </c>
      <c r="I142" s="370">
        <f>I141/12</f>
        <v>32927.083333333336</v>
      </c>
      <c r="J142" s="355">
        <f>ROUND(J141/12,2)</f>
        <v>40436.67</v>
      </c>
      <c r="K142" s="366">
        <f>K141/12</f>
        <v>32927.083333333336</v>
      </c>
      <c r="L142" s="373">
        <f>ROUND(L141/12,2)</f>
        <v>40436.67</v>
      </c>
      <c r="M142" s="378"/>
      <c r="N142" s="356"/>
      <c r="O142" s="358">
        <f>ROUND(O141/12,2)</f>
        <v>40436.639999999999</v>
      </c>
    </row>
    <row r="143" spans="1:15" ht="15.75" thickBot="1" x14ac:dyDescent="0.3">
      <c r="A143" s="1637"/>
      <c r="B143" s="364" t="s">
        <v>195</v>
      </c>
      <c r="C143" s="188">
        <f>C141/12</f>
        <v>32927.083333333336</v>
      </c>
      <c r="D143" s="189">
        <f>ROUND(D142/160.33,2)</f>
        <v>252.21</v>
      </c>
      <c r="E143" s="371"/>
      <c r="F143" s="189">
        <f t="shared" ref="F143:O143" si="46">ROUND(F142/160.33,2)</f>
        <v>252.21</v>
      </c>
      <c r="G143" s="189">
        <f t="shared" si="46"/>
        <v>205.37</v>
      </c>
      <c r="H143" s="189">
        <f t="shared" si="46"/>
        <v>252.21</v>
      </c>
      <c r="I143" s="189">
        <f t="shared" si="46"/>
        <v>205.37</v>
      </c>
      <c r="J143" s="189">
        <f t="shared" si="46"/>
        <v>252.21</v>
      </c>
      <c r="K143" s="189">
        <f t="shared" si="46"/>
        <v>205.37</v>
      </c>
      <c r="L143" s="189">
        <f t="shared" si="46"/>
        <v>252.21</v>
      </c>
      <c r="M143" s="189">
        <f t="shared" si="46"/>
        <v>0</v>
      </c>
      <c r="N143" s="189">
        <f t="shared" si="46"/>
        <v>0</v>
      </c>
      <c r="O143" s="189">
        <f t="shared" si="46"/>
        <v>252.21</v>
      </c>
    </row>
    <row r="144" spans="1:15" x14ac:dyDescent="0.25">
      <c r="A144" s="1635">
        <v>47</v>
      </c>
      <c r="B144" s="194" t="s">
        <v>96</v>
      </c>
      <c r="C144" s="183">
        <v>413269</v>
      </c>
      <c r="D144" s="187">
        <f>ROUND((C144*(1+'Løntabel gældende fra'!$D$7%)),0)</f>
        <v>507522</v>
      </c>
      <c r="E144" s="185">
        <v>413269</v>
      </c>
      <c r="F144" s="186">
        <f>ROUND((E144*(1+'Løntabel gældende fra'!$D$7%)),0)</f>
        <v>507522</v>
      </c>
      <c r="G144" s="183">
        <v>413269</v>
      </c>
      <c r="H144" s="187">
        <f>ROUND((G144*(1+'Løntabel gældende fra'!$D$7%)),0)</f>
        <v>507522</v>
      </c>
      <c r="I144" s="185">
        <v>413269</v>
      </c>
      <c r="J144" s="186">
        <f>ROUND((I144*(1+'Løntabel gældende fra'!$D$7%)),0)</f>
        <v>507522</v>
      </c>
      <c r="K144" s="183">
        <v>413269</v>
      </c>
      <c r="L144" s="187">
        <f>ROUND((K144*(1+'Løntabel gældende fra'!$D$7%)),0)</f>
        <v>507522</v>
      </c>
      <c r="M144" s="380"/>
      <c r="N144" s="359">
        <v>413268.87</v>
      </c>
      <c r="O144" s="360">
        <f>ROUND(N144*(1+'Løntabel gældende fra'!$D$7%),2)</f>
        <v>507521.86</v>
      </c>
    </row>
    <row r="145" spans="1:15" x14ac:dyDescent="0.25">
      <c r="A145" s="1636"/>
      <c r="B145" s="363" t="s">
        <v>200</v>
      </c>
      <c r="C145" s="366"/>
      <c r="D145" s="373">
        <f>ROUND(D144/12,2)</f>
        <v>42293.5</v>
      </c>
      <c r="E145" s="370">
        <f>E144/12</f>
        <v>34439.083333333336</v>
      </c>
      <c r="F145" s="355">
        <f>ROUND(F144/12,2)</f>
        <v>42293.5</v>
      </c>
      <c r="G145" s="366">
        <f>G144/12</f>
        <v>34439.083333333336</v>
      </c>
      <c r="H145" s="373">
        <f>ROUND(H144/12,2)</f>
        <v>42293.5</v>
      </c>
      <c r="I145" s="370">
        <f>I144/12</f>
        <v>34439.083333333336</v>
      </c>
      <c r="J145" s="355">
        <f>ROUND(J144/12,2)</f>
        <v>42293.5</v>
      </c>
      <c r="K145" s="366">
        <f>K144/12</f>
        <v>34439.083333333336</v>
      </c>
      <c r="L145" s="373">
        <f>ROUND(L144/12,2)</f>
        <v>42293.5</v>
      </c>
      <c r="M145" s="378"/>
      <c r="N145" s="356"/>
      <c r="O145" s="358">
        <f>ROUND(O144/12,2)</f>
        <v>42293.49</v>
      </c>
    </row>
    <row r="146" spans="1:15" ht="15.75" thickBot="1" x14ac:dyDescent="0.3">
      <c r="A146" s="1639"/>
      <c r="B146" s="365" t="s">
        <v>195</v>
      </c>
      <c r="C146" s="369">
        <f>C144/12</f>
        <v>34439.083333333336</v>
      </c>
      <c r="D146" s="189">
        <f>ROUND(D145/160.33,2)</f>
        <v>263.79000000000002</v>
      </c>
      <c r="E146" s="372"/>
      <c r="F146" s="189">
        <f t="shared" ref="F146:O146" si="47">ROUND(F145/160.33,2)</f>
        <v>263.79000000000002</v>
      </c>
      <c r="G146" s="189">
        <f t="shared" si="47"/>
        <v>214.8</v>
      </c>
      <c r="H146" s="189">
        <f t="shared" si="47"/>
        <v>263.79000000000002</v>
      </c>
      <c r="I146" s="189">
        <f t="shared" si="47"/>
        <v>214.8</v>
      </c>
      <c r="J146" s="189">
        <f t="shared" si="47"/>
        <v>263.79000000000002</v>
      </c>
      <c r="K146" s="189">
        <f t="shared" si="47"/>
        <v>214.8</v>
      </c>
      <c r="L146" s="189">
        <f t="shared" si="47"/>
        <v>263.79000000000002</v>
      </c>
      <c r="M146" s="189">
        <f t="shared" si="47"/>
        <v>0</v>
      </c>
      <c r="N146" s="189">
        <f t="shared" si="47"/>
        <v>0</v>
      </c>
      <c r="O146" s="189">
        <f t="shared" si="47"/>
        <v>263.79000000000002</v>
      </c>
    </row>
    <row r="147" spans="1:15" x14ac:dyDescent="0.25">
      <c r="A147" s="1638">
        <v>48</v>
      </c>
      <c r="B147" s="195" t="s">
        <v>96</v>
      </c>
      <c r="C147" s="191">
        <v>441027</v>
      </c>
      <c r="D147" s="184">
        <f>ROUND((C147*(1+'Løntabel gældende fra'!$D$7%)),0)</f>
        <v>541611</v>
      </c>
      <c r="E147" s="192">
        <v>441027</v>
      </c>
      <c r="F147" s="193">
        <f>ROUND((E147*(1+'Løntabel gældende fra'!$D$7%)),0)</f>
        <v>541611</v>
      </c>
      <c r="G147" s="191">
        <v>441027</v>
      </c>
      <c r="H147" s="184">
        <f>ROUND((G147*(1+'Løntabel gældende fra'!$D$7%)),0)</f>
        <v>541611</v>
      </c>
      <c r="I147" s="192">
        <v>441027</v>
      </c>
      <c r="J147" s="193">
        <f>ROUND((I147*(1+'Løntabel gældende fra'!$D$7%)),0)</f>
        <v>541611</v>
      </c>
      <c r="K147" s="191">
        <v>441027</v>
      </c>
      <c r="L147" s="184">
        <f>ROUND((K147*(1+'Løntabel gældende fra'!$D$7%)),0)</f>
        <v>541611</v>
      </c>
      <c r="M147" s="379"/>
      <c r="N147" s="357">
        <v>441025.75</v>
      </c>
      <c r="O147" s="198">
        <f>ROUND(N147*(1+'Løntabel gældende fra'!$D$7%),2)</f>
        <v>541609.17000000004</v>
      </c>
    </row>
    <row r="148" spans="1:15" x14ac:dyDescent="0.25">
      <c r="A148" s="1636"/>
      <c r="B148" s="363" t="s">
        <v>200</v>
      </c>
      <c r="C148" s="366"/>
      <c r="D148" s="373">
        <f>ROUND(D147/12,2)</f>
        <v>45134.25</v>
      </c>
      <c r="E148" s="370">
        <f>E147/12</f>
        <v>36752.25</v>
      </c>
      <c r="F148" s="355">
        <f>ROUND(F147/12,2)</f>
        <v>45134.25</v>
      </c>
      <c r="G148" s="366">
        <f>G147/12</f>
        <v>36752.25</v>
      </c>
      <c r="H148" s="373">
        <f>ROUND(H147/12,2)</f>
        <v>45134.25</v>
      </c>
      <c r="I148" s="370">
        <f>I147/12</f>
        <v>36752.25</v>
      </c>
      <c r="J148" s="355">
        <f>ROUND(J147/12,2)</f>
        <v>45134.25</v>
      </c>
      <c r="K148" s="366">
        <f>K147/12</f>
        <v>36752.25</v>
      </c>
      <c r="L148" s="373">
        <f>ROUND(L147/12,2)</f>
        <v>45134.25</v>
      </c>
      <c r="M148" s="378"/>
      <c r="N148" s="356"/>
      <c r="O148" s="358">
        <f>ROUND(O147/12,2)</f>
        <v>45134.1</v>
      </c>
    </row>
    <row r="149" spans="1:15" ht="15.75" thickBot="1" x14ac:dyDescent="0.3">
      <c r="A149" s="1637"/>
      <c r="B149" s="364" t="s">
        <v>195</v>
      </c>
      <c r="C149" s="188">
        <f>C147/12</f>
        <v>36752.25</v>
      </c>
      <c r="D149" s="189">
        <f>ROUND(D148/160.33,2)</f>
        <v>281.51</v>
      </c>
      <c r="E149" s="371"/>
      <c r="F149" s="189">
        <f t="shared" ref="F149:O149" si="48">ROUND(F148/160.33,2)</f>
        <v>281.51</v>
      </c>
      <c r="G149" s="189">
        <f t="shared" si="48"/>
        <v>229.23</v>
      </c>
      <c r="H149" s="189">
        <f t="shared" si="48"/>
        <v>281.51</v>
      </c>
      <c r="I149" s="189">
        <f t="shared" si="48"/>
        <v>229.23</v>
      </c>
      <c r="J149" s="189">
        <f t="shared" si="48"/>
        <v>281.51</v>
      </c>
      <c r="K149" s="189">
        <f t="shared" si="48"/>
        <v>229.23</v>
      </c>
      <c r="L149" s="189">
        <f t="shared" si="48"/>
        <v>281.51</v>
      </c>
      <c r="M149" s="189">
        <f t="shared" si="48"/>
        <v>0</v>
      </c>
      <c r="N149" s="189">
        <f t="shared" si="48"/>
        <v>0</v>
      </c>
      <c r="O149" s="189">
        <f t="shared" si="48"/>
        <v>281.51</v>
      </c>
    </row>
    <row r="150" spans="1:15" x14ac:dyDescent="0.25">
      <c r="A150" s="1635">
        <v>49</v>
      </c>
      <c r="B150" s="194" t="s">
        <v>96</v>
      </c>
      <c r="C150" s="183">
        <v>471781</v>
      </c>
      <c r="D150" s="187">
        <f>ROUND((C150*(1+'Løntabel gældende fra'!$D$7%)),0)</f>
        <v>579379</v>
      </c>
      <c r="E150" s="185">
        <v>471781</v>
      </c>
      <c r="F150" s="186">
        <f>ROUND((E150*(1+'Løntabel gældende fra'!$D$7%)),0)</f>
        <v>579379</v>
      </c>
      <c r="G150" s="183">
        <v>471781</v>
      </c>
      <c r="H150" s="187">
        <f>ROUND((G150*(1+'Løntabel gældende fra'!$D$7%)),0)</f>
        <v>579379</v>
      </c>
      <c r="I150" s="185">
        <v>471781</v>
      </c>
      <c r="J150" s="186">
        <f>ROUND((I150*(1+'Løntabel gældende fra'!$D$7%)),0)</f>
        <v>579379</v>
      </c>
      <c r="K150" s="183">
        <v>471781</v>
      </c>
      <c r="L150" s="187">
        <f>ROUND((K150*(1+'Løntabel gældende fra'!$D$7%)),0)</f>
        <v>579379</v>
      </c>
      <c r="M150" s="380"/>
      <c r="N150" s="359">
        <v>471780.9</v>
      </c>
      <c r="O150" s="360">
        <f>ROUND(N150*(1+'Løntabel gældende fra'!$D$7%),2)</f>
        <v>579378.55000000005</v>
      </c>
    </row>
    <row r="151" spans="1:15" x14ac:dyDescent="0.25">
      <c r="A151" s="1636"/>
      <c r="B151" s="363" t="s">
        <v>200</v>
      </c>
      <c r="C151" s="366"/>
      <c r="D151" s="373">
        <f>ROUND(D150/12,2)</f>
        <v>48281.58</v>
      </c>
      <c r="E151" s="370">
        <f>E150/12</f>
        <v>39315.083333333336</v>
      </c>
      <c r="F151" s="355">
        <f>ROUND(F150/12,2)</f>
        <v>48281.58</v>
      </c>
      <c r="G151" s="366">
        <f>G150/12</f>
        <v>39315.083333333336</v>
      </c>
      <c r="H151" s="373">
        <f>ROUND(H150/12,2)</f>
        <v>48281.58</v>
      </c>
      <c r="I151" s="370">
        <f>I150/12</f>
        <v>39315.083333333336</v>
      </c>
      <c r="J151" s="355">
        <f>ROUND(J150/12,2)</f>
        <v>48281.58</v>
      </c>
      <c r="K151" s="366">
        <f>K150/12</f>
        <v>39315.083333333336</v>
      </c>
      <c r="L151" s="373">
        <f>ROUND(L150/12,2)</f>
        <v>48281.58</v>
      </c>
      <c r="M151" s="378"/>
      <c r="N151" s="356"/>
      <c r="O151" s="358">
        <f>ROUND(O150/12,2)</f>
        <v>48281.55</v>
      </c>
    </row>
    <row r="152" spans="1:15" ht="15.75" thickBot="1" x14ac:dyDescent="0.3">
      <c r="A152" s="1639"/>
      <c r="B152" s="365" t="s">
        <v>195</v>
      </c>
      <c r="C152" s="369">
        <f>C150/12</f>
        <v>39315.083333333336</v>
      </c>
      <c r="D152" s="189">
        <f>ROUND(D151/160.33,2)</f>
        <v>301.14</v>
      </c>
      <c r="E152" s="372"/>
      <c r="F152" s="189">
        <f t="shared" ref="F152:O152" si="49">ROUND(F151/160.33,2)</f>
        <v>301.14</v>
      </c>
      <c r="G152" s="189">
        <f t="shared" si="49"/>
        <v>245.21</v>
      </c>
      <c r="H152" s="189">
        <f t="shared" si="49"/>
        <v>301.14</v>
      </c>
      <c r="I152" s="189">
        <f t="shared" si="49"/>
        <v>245.21</v>
      </c>
      <c r="J152" s="189">
        <f t="shared" si="49"/>
        <v>301.14</v>
      </c>
      <c r="K152" s="189">
        <f t="shared" si="49"/>
        <v>245.21</v>
      </c>
      <c r="L152" s="189">
        <f t="shared" si="49"/>
        <v>301.14</v>
      </c>
      <c r="M152" s="189">
        <f t="shared" si="49"/>
        <v>0</v>
      </c>
      <c r="N152" s="189">
        <f t="shared" si="49"/>
        <v>0</v>
      </c>
      <c r="O152" s="189">
        <f t="shared" si="49"/>
        <v>301.14</v>
      </c>
    </row>
    <row r="153" spans="1:15" x14ac:dyDescent="0.25">
      <c r="A153" s="1638">
        <v>50</v>
      </c>
      <c r="B153" s="195" t="s">
        <v>96</v>
      </c>
      <c r="C153" s="191">
        <v>521094</v>
      </c>
      <c r="D153" s="184">
        <f>ROUND((C153*(1+'Løntabel gældende fra'!$D$7%)),0)</f>
        <v>639938</v>
      </c>
      <c r="E153" s="192">
        <v>521094</v>
      </c>
      <c r="F153" s="193">
        <f>ROUND((E153*(1+'Løntabel gældende fra'!$D$7%)),0)</f>
        <v>639938</v>
      </c>
      <c r="G153" s="375">
        <v>521094</v>
      </c>
      <c r="H153" s="184">
        <f>ROUND((G153*(1+'Løntabel gældende fra'!$D$7%)),0)</f>
        <v>639938</v>
      </c>
      <c r="I153" s="376">
        <v>521094</v>
      </c>
      <c r="J153" s="193">
        <f>ROUND((I153*(1+'Løntabel gældende fra'!$D$7%)),0)</f>
        <v>639938</v>
      </c>
      <c r="K153" s="375">
        <v>521094</v>
      </c>
      <c r="L153" s="184">
        <f>ROUND((K153*(1+'Løntabel gældende fra'!$D$7%)),0)</f>
        <v>639938</v>
      </c>
      <c r="M153" s="379"/>
      <c r="N153" s="357">
        <v>521094.47</v>
      </c>
      <c r="O153" s="198">
        <f>ROUND(N153*(1+'Løntabel gældende fra'!$D$7%),2)</f>
        <v>639938.92000000004</v>
      </c>
    </row>
    <row r="154" spans="1:15" x14ac:dyDescent="0.25">
      <c r="A154" s="1636"/>
      <c r="B154" s="363" t="s">
        <v>200</v>
      </c>
      <c r="C154" s="366"/>
      <c r="D154" s="373">
        <f>ROUND(D153/12,2)</f>
        <v>53328.17</v>
      </c>
      <c r="E154" s="370">
        <f>E153/12</f>
        <v>43424.5</v>
      </c>
      <c r="F154" s="355">
        <f>ROUND(F153/12,2)</f>
        <v>53328.17</v>
      </c>
      <c r="G154" s="366">
        <f>G153/12</f>
        <v>43424.5</v>
      </c>
      <c r="H154" s="373">
        <f>ROUND(H153/12,2)</f>
        <v>53328.17</v>
      </c>
      <c r="I154" s="370">
        <f>I153/12</f>
        <v>43424.5</v>
      </c>
      <c r="J154" s="355">
        <f>ROUND(J153/12,2)</f>
        <v>53328.17</v>
      </c>
      <c r="K154" s="366">
        <f>K153/12</f>
        <v>43424.5</v>
      </c>
      <c r="L154" s="373">
        <f>ROUND(L153/12,2)</f>
        <v>53328.17</v>
      </c>
      <c r="M154" s="378"/>
      <c r="N154" s="356"/>
      <c r="O154" s="358">
        <f>ROUND(O153/12,2)</f>
        <v>53328.24</v>
      </c>
    </row>
    <row r="155" spans="1:15" ht="15.75" thickBot="1" x14ac:dyDescent="0.3">
      <c r="A155" s="1637"/>
      <c r="B155" s="364" t="s">
        <v>195</v>
      </c>
      <c r="C155" s="188">
        <f>C153/12</f>
        <v>43424.5</v>
      </c>
      <c r="D155" s="189">
        <f>ROUND(D154/160.33,2)</f>
        <v>332.62</v>
      </c>
      <c r="E155" s="371"/>
      <c r="F155" s="189">
        <f t="shared" ref="F155:O155" si="50">ROUND(F154/160.33,2)</f>
        <v>332.62</v>
      </c>
      <c r="G155" s="189">
        <f t="shared" si="50"/>
        <v>270.83999999999997</v>
      </c>
      <c r="H155" s="189">
        <f t="shared" si="50"/>
        <v>332.62</v>
      </c>
      <c r="I155" s="189">
        <f t="shared" si="50"/>
        <v>270.83999999999997</v>
      </c>
      <c r="J155" s="189">
        <f t="shared" si="50"/>
        <v>332.62</v>
      </c>
      <c r="K155" s="189">
        <f t="shared" si="50"/>
        <v>270.83999999999997</v>
      </c>
      <c r="L155" s="189">
        <f t="shared" si="50"/>
        <v>332.62</v>
      </c>
      <c r="M155" s="189">
        <f t="shared" si="50"/>
        <v>0</v>
      </c>
      <c r="N155" s="189">
        <f t="shared" si="50"/>
        <v>0</v>
      </c>
      <c r="O155" s="189">
        <f t="shared" si="50"/>
        <v>332.62</v>
      </c>
    </row>
    <row r="156" spans="1:15" x14ac:dyDescent="0.25">
      <c r="A156" s="1635">
        <v>51</v>
      </c>
      <c r="B156" s="194" t="s">
        <v>96</v>
      </c>
      <c r="C156" s="183">
        <v>592911</v>
      </c>
      <c r="D156" s="187">
        <f>ROUND((C156*(1+'Løntabel gældende fra'!$D$7%)),0)</f>
        <v>728134</v>
      </c>
      <c r="E156" s="185">
        <v>592911</v>
      </c>
      <c r="F156" s="186">
        <f>ROUND((E156*(1+'Løntabel gældende fra'!$D$7%)),0)</f>
        <v>728134</v>
      </c>
      <c r="G156" s="196">
        <v>592911</v>
      </c>
      <c r="H156" s="187">
        <f>ROUND((G156*(1+'Løntabel gældende fra'!$D$7%)),0)</f>
        <v>728134</v>
      </c>
      <c r="I156" s="197">
        <v>592911</v>
      </c>
      <c r="J156" s="186">
        <f>ROUND((I156*(1+'Løntabel gældende fra'!$D$7%)),0)</f>
        <v>728134</v>
      </c>
      <c r="K156" s="196">
        <v>592911</v>
      </c>
      <c r="L156" s="187">
        <f>ROUND((K156*(1+'Løntabel gældende fra'!$D$7%)),0)</f>
        <v>728134</v>
      </c>
      <c r="M156" s="380"/>
      <c r="N156" s="359">
        <v>592911.94999999995</v>
      </c>
      <c r="O156" s="360">
        <f>ROUND(N156*(1+'Løntabel gældende fra'!$D$7%),2)</f>
        <v>728135.6</v>
      </c>
    </row>
    <row r="157" spans="1:15" x14ac:dyDescent="0.25">
      <c r="A157" s="1636"/>
      <c r="B157" s="363" t="s">
        <v>97</v>
      </c>
      <c r="C157" s="366"/>
      <c r="D157" s="373">
        <f>ROUND(D156/12,2)</f>
        <v>60677.83</v>
      </c>
      <c r="E157" s="370">
        <f>E156/12</f>
        <v>49409.25</v>
      </c>
      <c r="F157" s="355">
        <f>ROUND(F156/12,2)</f>
        <v>60677.83</v>
      </c>
      <c r="G157" s="366">
        <f>G156/12</f>
        <v>49409.25</v>
      </c>
      <c r="H157" s="373">
        <f>ROUND(H156/12,2)</f>
        <v>60677.83</v>
      </c>
      <c r="I157" s="370">
        <f>I156/12</f>
        <v>49409.25</v>
      </c>
      <c r="J157" s="355">
        <f>ROUND(J156/12,2)</f>
        <v>60677.83</v>
      </c>
      <c r="K157" s="366">
        <f>K156/12</f>
        <v>49409.25</v>
      </c>
      <c r="L157" s="373">
        <f>ROUND(L156/12,2)</f>
        <v>60677.83</v>
      </c>
      <c r="M157" s="378"/>
      <c r="N157" s="356"/>
      <c r="O157" s="358">
        <f>ROUND(O156/12,2)</f>
        <v>60677.97</v>
      </c>
    </row>
    <row r="158" spans="1:15" ht="15.75" thickBot="1" x14ac:dyDescent="0.3">
      <c r="A158" s="1637"/>
      <c r="B158" s="364" t="s">
        <v>195</v>
      </c>
      <c r="C158" s="188">
        <f>C156/12</f>
        <v>49409.25</v>
      </c>
      <c r="D158" s="189">
        <f>ROUND(D157/160.33,2)</f>
        <v>378.46</v>
      </c>
      <c r="E158" s="371"/>
      <c r="F158" s="189">
        <f t="shared" ref="F158:O158" si="51">ROUND(F157/160.33,2)</f>
        <v>378.46</v>
      </c>
      <c r="G158" s="189">
        <f t="shared" si="51"/>
        <v>308.17</v>
      </c>
      <c r="H158" s="189">
        <f t="shared" si="51"/>
        <v>378.46</v>
      </c>
      <c r="I158" s="189">
        <f t="shared" si="51"/>
        <v>308.17</v>
      </c>
      <c r="J158" s="189">
        <f t="shared" si="51"/>
        <v>378.46</v>
      </c>
      <c r="K158" s="189">
        <f t="shared" si="51"/>
        <v>308.17</v>
      </c>
      <c r="L158" s="189">
        <f t="shared" si="51"/>
        <v>378.46</v>
      </c>
      <c r="M158" s="189">
        <f t="shared" si="51"/>
        <v>0</v>
      </c>
      <c r="N158" s="189">
        <f t="shared" si="51"/>
        <v>0</v>
      </c>
      <c r="O158" s="189">
        <f t="shared" si="51"/>
        <v>378.46</v>
      </c>
    </row>
  </sheetData>
  <sheetProtection sheet="1" objects="1" scenarios="1"/>
  <mergeCells count="54"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  <mergeCell ref="A114:A116"/>
    <mergeCell ref="A117:A119"/>
    <mergeCell ref="A120:A122"/>
    <mergeCell ref="A123:A125"/>
    <mergeCell ref="A126:A128"/>
    <mergeCell ref="A99:A101"/>
    <mergeCell ref="A102:A104"/>
    <mergeCell ref="A105:A107"/>
    <mergeCell ref="A108:A110"/>
    <mergeCell ref="A111:A113"/>
    <mergeCell ref="A84:A86"/>
    <mergeCell ref="A87:A89"/>
    <mergeCell ref="A90:A92"/>
    <mergeCell ref="A93:A95"/>
    <mergeCell ref="A96:A98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</mergeCells>
  <phoneticPr fontId="7" type="noConversion"/>
  <pageMargins left="0.47244094488188981" right="0.47244094488188981" top="0.74803149606299213" bottom="0.74803149606299213" header="0.31496062992125984" footer="0.31496062992125984"/>
  <pageSetup paperSize="9" scale="91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4"/>
  <sheetViews>
    <sheetView view="pageBreakPreview" zoomScale="125" zoomScaleNormal="125" zoomScalePageLayoutView="125" workbookViewId="0">
      <selection activeCell="C29" sqref="C29"/>
    </sheetView>
  </sheetViews>
  <sheetFormatPr defaultColWidth="11.28515625" defaultRowHeight="15" x14ac:dyDescent="0.25"/>
  <cols>
    <col min="2" max="2" width="11.140625" customWidth="1"/>
    <col min="3" max="3" width="15.28515625" customWidth="1"/>
    <col min="4" max="4" width="11.28515625" customWidth="1"/>
    <col min="6" max="6" width="20" customWidth="1"/>
    <col min="7" max="7" width="16.28515625" customWidth="1"/>
    <col min="8" max="8" width="8.140625" customWidth="1"/>
  </cols>
  <sheetData>
    <row r="1" spans="1:9" x14ac:dyDescent="0.25">
      <c r="A1" t="s">
        <v>31</v>
      </c>
      <c r="C1" s="5"/>
      <c r="D1" s="572" t="s">
        <v>419</v>
      </c>
    </row>
    <row r="3" spans="1:9" ht="20.25" x14ac:dyDescent="0.3">
      <c r="A3" s="19" t="s">
        <v>25</v>
      </c>
      <c r="B3" s="20"/>
      <c r="C3" s="20"/>
      <c r="D3" s="20"/>
      <c r="E3" s="20"/>
      <c r="F3" s="20"/>
      <c r="G3" s="20"/>
    </row>
    <row r="4" spans="1:9" x14ac:dyDescent="0.25">
      <c r="A4" s="20"/>
      <c r="B4" s="20"/>
      <c r="C4" s="20"/>
      <c r="D4" s="20"/>
      <c r="E4" s="20"/>
      <c r="F4" s="20"/>
      <c r="G4" s="20"/>
      <c r="H4" s="2"/>
      <c r="I4" s="2"/>
    </row>
    <row r="5" spans="1:9" ht="18" x14ac:dyDescent="0.25">
      <c r="A5" s="17" t="s">
        <v>26</v>
      </c>
      <c r="B5" s="20"/>
      <c r="C5" s="20"/>
      <c r="D5" s="20"/>
      <c r="E5" s="20"/>
      <c r="F5" s="20"/>
      <c r="G5" s="20"/>
      <c r="H5" s="2"/>
      <c r="I5" s="2"/>
    </row>
    <row r="6" spans="1:9" x14ac:dyDescent="0.25">
      <c r="A6" s="20"/>
      <c r="B6" s="20"/>
      <c r="C6" s="20"/>
      <c r="D6" s="20"/>
      <c r="E6" s="20"/>
      <c r="F6" s="20"/>
      <c r="G6" s="20"/>
      <c r="H6" s="2"/>
      <c r="I6" s="2"/>
    </row>
    <row r="7" spans="1:9" ht="15.75" x14ac:dyDescent="0.25">
      <c r="A7" s="1652" t="s">
        <v>29</v>
      </c>
      <c r="B7" s="1652"/>
      <c r="C7" s="561">
        <v>45383</v>
      </c>
      <c r="D7" s="28">
        <v>22.806699999999999</v>
      </c>
      <c r="E7" s="27" t="s">
        <v>33</v>
      </c>
      <c r="F7" s="27"/>
      <c r="G7" s="133">
        <v>45747</v>
      </c>
      <c r="H7" s="2"/>
      <c r="I7" s="2"/>
    </row>
    <row r="8" spans="1:9" x14ac:dyDescent="0.25">
      <c r="A8" s="20"/>
      <c r="B8" s="20"/>
      <c r="C8" s="14"/>
      <c r="D8" s="20"/>
      <c r="E8" s="20"/>
      <c r="F8" s="20"/>
      <c r="G8" s="20"/>
      <c r="H8" s="2"/>
      <c r="I8" s="2"/>
    </row>
    <row r="9" spans="1:9" ht="15.75" thickBot="1" x14ac:dyDescent="0.3">
      <c r="A9" s="21" t="s">
        <v>30</v>
      </c>
      <c r="B9" s="20"/>
      <c r="C9" s="20"/>
      <c r="D9" s="20"/>
      <c r="E9" s="20"/>
      <c r="F9" s="20"/>
      <c r="G9" s="20"/>
      <c r="H9" s="2"/>
      <c r="I9" s="2"/>
    </row>
    <row r="10" spans="1:9" x14ac:dyDescent="0.25">
      <c r="A10" s="22" t="s">
        <v>27</v>
      </c>
      <c r="B10" s="23" t="s">
        <v>28</v>
      </c>
      <c r="C10" s="1653" t="s">
        <v>32</v>
      </c>
      <c r="D10" s="1653"/>
      <c r="E10" s="1653"/>
      <c r="F10" s="1653"/>
      <c r="G10" s="1653"/>
      <c r="H10" s="2"/>
      <c r="I10" s="2"/>
    </row>
    <row r="11" spans="1:9" x14ac:dyDescent="0.25">
      <c r="A11" s="207">
        <v>40999</v>
      </c>
      <c r="B11" s="29">
        <v>1</v>
      </c>
      <c r="C11" s="1653"/>
      <c r="D11" s="1653"/>
      <c r="E11" s="1653"/>
      <c r="F11" s="1653"/>
      <c r="G11" s="1653"/>
      <c r="H11" s="2"/>
      <c r="I11" s="2"/>
    </row>
    <row r="12" spans="1:9" x14ac:dyDescent="0.25">
      <c r="A12" s="87">
        <v>41000</v>
      </c>
      <c r="B12" s="29">
        <v>1.304</v>
      </c>
      <c r="C12" s="20"/>
      <c r="D12" s="20"/>
      <c r="E12" s="20"/>
      <c r="F12" s="20"/>
      <c r="G12" s="20"/>
      <c r="H12" s="2"/>
      <c r="I12" s="2"/>
    </row>
    <row r="13" spans="1:9" x14ac:dyDescent="0.25">
      <c r="A13" s="87">
        <v>41365</v>
      </c>
      <c r="B13" s="29">
        <v>1.304</v>
      </c>
      <c r="C13" s="20"/>
      <c r="D13" s="20"/>
      <c r="E13" s="20"/>
      <c r="F13" s="20"/>
      <c r="G13" s="20"/>
      <c r="H13" s="2"/>
      <c r="I13" s="2"/>
    </row>
    <row r="14" spans="1:9" x14ac:dyDescent="0.25">
      <c r="A14" s="208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 x14ac:dyDescent="0.25">
      <c r="A15" s="208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 x14ac:dyDescent="0.25">
      <c r="A16" s="208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 x14ac:dyDescent="0.25">
      <c r="A17" s="208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 x14ac:dyDescent="0.25">
      <c r="A18" s="208">
        <v>43070</v>
      </c>
      <c r="B18" s="18">
        <v>5.7702999999999998</v>
      </c>
      <c r="C18" s="20"/>
      <c r="D18" s="20"/>
      <c r="E18" s="20"/>
      <c r="F18" s="27"/>
      <c r="G18" s="20"/>
      <c r="H18" s="2"/>
      <c r="I18" s="2"/>
    </row>
    <row r="19" spans="1:12" x14ac:dyDescent="0.25">
      <c r="A19" s="623">
        <v>43191</v>
      </c>
      <c r="B19" s="624">
        <v>6.9683000000000002</v>
      </c>
      <c r="C19" s="20"/>
      <c r="D19" s="20"/>
      <c r="E19" s="20"/>
      <c r="F19" s="20"/>
      <c r="G19" s="20"/>
      <c r="H19" s="2"/>
      <c r="I19" s="2"/>
    </row>
    <row r="20" spans="1:12" x14ac:dyDescent="0.25">
      <c r="A20" s="623">
        <v>43373</v>
      </c>
      <c r="B20" s="624">
        <v>7.4972000000000003</v>
      </c>
      <c r="C20" s="20"/>
      <c r="D20" s="20"/>
      <c r="E20" s="20"/>
      <c r="F20" s="20"/>
      <c r="G20" s="20"/>
      <c r="H20" s="2"/>
      <c r="I20" s="2"/>
    </row>
    <row r="21" spans="1:12" x14ac:dyDescent="0.25">
      <c r="A21" s="623">
        <v>43556</v>
      </c>
      <c r="B21" s="624">
        <v>8.4910999999999994</v>
      </c>
      <c r="C21" s="20"/>
      <c r="D21" s="20"/>
      <c r="E21" s="20"/>
      <c r="F21" s="20"/>
      <c r="G21" s="20"/>
      <c r="H21" s="2"/>
      <c r="I21" s="2"/>
    </row>
    <row r="22" spans="1:12" x14ac:dyDescent="0.25">
      <c r="A22" s="623">
        <v>43739</v>
      </c>
      <c r="B22" s="624">
        <v>9.4007000000000005</v>
      </c>
      <c r="C22" s="20"/>
      <c r="D22" s="20"/>
      <c r="E22" s="20"/>
      <c r="F22" s="20"/>
      <c r="G22" s="20"/>
      <c r="H22" s="2"/>
      <c r="I22" s="2"/>
    </row>
    <row r="23" spans="1:12" x14ac:dyDescent="0.25">
      <c r="A23" s="623">
        <v>43922</v>
      </c>
      <c r="B23" s="624">
        <v>10.323600000000001</v>
      </c>
      <c r="C23" s="20"/>
      <c r="D23" s="20"/>
      <c r="E23" s="20"/>
      <c r="F23" s="20"/>
      <c r="G23" s="20"/>
      <c r="H23" s="2"/>
      <c r="I23" s="2"/>
    </row>
    <row r="24" spans="1:12" x14ac:dyDescent="0.25">
      <c r="A24" s="623">
        <v>44228</v>
      </c>
      <c r="B24" s="624">
        <v>10.2211</v>
      </c>
      <c r="C24" s="20"/>
      <c r="D24" s="20"/>
      <c r="E24" s="20"/>
      <c r="F24" s="20"/>
      <c r="G24" s="20"/>
      <c r="H24" s="2"/>
      <c r="I24" s="2"/>
    </row>
    <row r="25" spans="1:12" x14ac:dyDescent="0.25">
      <c r="A25" s="623">
        <v>44287</v>
      </c>
      <c r="B25" s="624">
        <v>11.1029</v>
      </c>
      <c r="C25" s="20"/>
      <c r="D25" s="20"/>
      <c r="E25" s="20"/>
      <c r="F25" s="20"/>
      <c r="G25" s="20"/>
      <c r="H25" s="2"/>
      <c r="I25" s="2"/>
    </row>
    <row r="26" spans="1:12" x14ac:dyDescent="0.25">
      <c r="A26" s="623">
        <v>44470</v>
      </c>
      <c r="B26" s="624">
        <v>11.4336</v>
      </c>
      <c r="C26" s="20"/>
      <c r="D26" s="20"/>
      <c r="E26" s="20"/>
      <c r="F26" s="20"/>
      <c r="G26" s="20"/>
      <c r="H26" s="2"/>
      <c r="I26" s="2"/>
    </row>
    <row r="27" spans="1:12" x14ac:dyDescent="0.25">
      <c r="A27" s="623">
        <v>44652</v>
      </c>
      <c r="B27" s="624">
        <v>13.410399999999999</v>
      </c>
      <c r="C27" s="20"/>
      <c r="D27" s="20"/>
      <c r="E27" s="20"/>
      <c r="F27" s="20"/>
      <c r="G27" s="20"/>
      <c r="H27" s="2"/>
      <c r="I27" s="2"/>
    </row>
    <row r="28" spans="1:12" x14ac:dyDescent="0.25">
      <c r="A28" s="623">
        <v>44835</v>
      </c>
      <c r="B28" s="624">
        <v>13.741099999999999</v>
      </c>
      <c r="C28" s="20"/>
      <c r="D28" s="20"/>
      <c r="E28" s="20"/>
      <c r="F28" s="20"/>
      <c r="G28" s="20"/>
      <c r="H28" s="2"/>
      <c r="I28" s="2"/>
    </row>
    <row r="29" spans="1:12" x14ac:dyDescent="0.25">
      <c r="A29" s="623">
        <v>45017</v>
      </c>
      <c r="B29" s="624">
        <v>15.533899999999999</v>
      </c>
      <c r="C29" s="20"/>
      <c r="D29" s="20"/>
      <c r="E29" s="20"/>
      <c r="F29" s="20"/>
      <c r="G29" s="20"/>
      <c r="H29" s="2"/>
      <c r="I29" s="2"/>
    </row>
    <row r="30" spans="1:12" x14ac:dyDescent="0.25">
      <c r="A30" s="623">
        <v>45200</v>
      </c>
      <c r="B30" s="624">
        <v>15.919700000000001</v>
      </c>
      <c r="C30" s="20"/>
      <c r="D30" s="20"/>
      <c r="E30" s="20"/>
      <c r="F30" s="20"/>
      <c r="G30" s="20"/>
      <c r="H30" s="2"/>
      <c r="I30" s="2"/>
    </row>
    <row r="31" spans="1:12" ht="15.75" thickBot="1" x14ac:dyDescent="0.3">
      <c r="A31" s="797">
        <v>45383</v>
      </c>
      <c r="B31" s="798">
        <v>22.806699999999999</v>
      </c>
      <c r="C31" s="20"/>
      <c r="D31" s="20"/>
      <c r="E31" s="20"/>
      <c r="F31" s="20"/>
      <c r="G31" s="20"/>
      <c r="H31" s="2"/>
      <c r="I31" s="2"/>
    </row>
    <row r="32" spans="1:12" x14ac:dyDescent="0.25">
      <c r="A32" s="754"/>
      <c r="B32" s="7"/>
      <c r="C32" s="20"/>
      <c r="D32" s="20"/>
      <c r="E32" s="20"/>
      <c r="F32" s="20"/>
      <c r="G32" s="20"/>
      <c r="H32" s="2"/>
      <c r="I32" s="2"/>
    </row>
    <row r="33" spans="1:9" x14ac:dyDescent="0.25">
      <c r="A33" s="754"/>
      <c r="B33" s="7"/>
      <c r="C33" s="20"/>
      <c r="D33" s="20"/>
      <c r="E33" s="20"/>
      <c r="F33" s="20"/>
      <c r="G33" s="20"/>
      <c r="H33" s="2"/>
      <c r="I33" s="2"/>
    </row>
    <row r="34" spans="1:9" x14ac:dyDescent="0.25">
      <c r="A34" s="754"/>
      <c r="B34" s="7"/>
      <c r="C34" s="20"/>
      <c r="D34" s="20"/>
      <c r="E34" s="20"/>
      <c r="F34" s="20"/>
      <c r="G34" s="20"/>
      <c r="H34" s="2"/>
      <c r="I34" s="2"/>
    </row>
  </sheetData>
  <sheetProtection sheet="1" objects="1" scenarios="1"/>
  <mergeCells count="2">
    <mergeCell ref="A7:B7"/>
    <mergeCell ref="C10:G11"/>
  </mergeCells>
  <phoneticPr fontId="7" type="noConversion"/>
  <pageMargins left="0.75000000000000011" right="0.75000000000000011" top="0.98" bottom="0.98" header="0.51" footer="0.51"/>
  <pageSetup paperSize="9" scale="89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zoomScale="70" zoomScaleNormal="70" workbookViewId="0">
      <selection activeCell="A30" sqref="A30:A46"/>
    </sheetView>
  </sheetViews>
  <sheetFormatPr defaultColWidth="11.28515625" defaultRowHeight="15" x14ac:dyDescent="0.25"/>
  <cols>
    <col min="1" max="1" width="11.28515625" customWidth="1"/>
    <col min="2" max="2" width="60.140625" customWidth="1"/>
    <col min="3" max="3" width="12.28515625" customWidth="1"/>
    <col min="4" max="4" width="12.7109375" customWidth="1"/>
    <col min="5" max="6" width="13" customWidth="1"/>
    <col min="7" max="7" width="14.85546875" customWidth="1"/>
    <col min="9" max="9" width="9.28515625" customWidth="1"/>
  </cols>
  <sheetData>
    <row r="1" spans="1:9" x14ac:dyDescent="0.25">
      <c r="A1" s="840" t="s">
        <v>245</v>
      </c>
      <c r="B1" s="846" t="s">
        <v>237</v>
      </c>
      <c r="C1" s="846"/>
      <c r="D1" s="846"/>
      <c r="E1" s="846"/>
      <c r="F1" s="846"/>
      <c r="G1" s="846"/>
      <c r="H1" s="846"/>
      <c r="I1" s="847"/>
    </row>
    <row r="2" spans="1:9" ht="15.75" thickBot="1" x14ac:dyDescent="0.3">
      <c r="A2" s="841"/>
      <c r="B2" s="848"/>
      <c r="C2" s="848"/>
      <c r="D2" s="848"/>
      <c r="E2" s="848"/>
      <c r="F2" s="848"/>
      <c r="G2" s="848"/>
      <c r="H2" s="848"/>
      <c r="I2" s="849"/>
    </row>
    <row r="3" spans="1:9" ht="42" customHeight="1" thickBot="1" x14ac:dyDescent="0.3">
      <c r="A3" s="841"/>
      <c r="B3" s="832" t="s">
        <v>247</v>
      </c>
      <c r="C3" s="833"/>
      <c r="D3" s="833"/>
      <c r="E3" s="833"/>
      <c r="F3" s="833"/>
      <c r="G3" s="833"/>
      <c r="H3" s="833"/>
      <c r="I3" s="834"/>
    </row>
    <row r="4" spans="1:9" ht="15" customHeight="1" x14ac:dyDescent="0.25">
      <c r="A4" s="841"/>
      <c r="B4" s="463" t="s">
        <v>235</v>
      </c>
      <c r="C4" s="485" t="s">
        <v>220</v>
      </c>
      <c r="D4" s="486" t="s">
        <v>221</v>
      </c>
      <c r="E4" s="486" t="s">
        <v>222</v>
      </c>
      <c r="F4" s="485" t="s">
        <v>223</v>
      </c>
      <c r="G4" s="861" t="s">
        <v>251</v>
      </c>
      <c r="H4" s="861" t="s">
        <v>253</v>
      </c>
      <c r="I4" s="863" t="s">
        <v>228</v>
      </c>
    </row>
    <row r="5" spans="1:9" ht="39" thickBot="1" x14ac:dyDescent="0.3">
      <c r="A5" s="841"/>
      <c r="B5" s="464" t="s">
        <v>234</v>
      </c>
      <c r="C5" s="487" t="s">
        <v>239</v>
      </c>
      <c r="D5" s="487" t="s">
        <v>240</v>
      </c>
      <c r="E5" s="487" t="s">
        <v>241</v>
      </c>
      <c r="F5" s="487" t="s">
        <v>242</v>
      </c>
      <c r="G5" s="862"/>
      <c r="H5" s="862"/>
      <c r="I5" s="864"/>
    </row>
    <row r="6" spans="1:9" x14ac:dyDescent="0.25">
      <c r="A6" s="841"/>
      <c r="B6" s="380" t="s">
        <v>224</v>
      </c>
      <c r="C6" s="458" t="s">
        <v>225</v>
      </c>
      <c r="D6" s="458" t="s">
        <v>225</v>
      </c>
      <c r="E6" s="458" t="s">
        <v>225</v>
      </c>
      <c r="F6" s="458" t="s">
        <v>225</v>
      </c>
      <c r="G6" s="458" t="s">
        <v>230</v>
      </c>
      <c r="H6" s="458" t="s">
        <v>230</v>
      </c>
      <c r="I6" s="459" t="s">
        <v>230</v>
      </c>
    </row>
    <row r="7" spans="1:9" x14ac:dyDescent="0.25">
      <c r="A7" s="841"/>
      <c r="B7" s="378" t="s">
        <v>246</v>
      </c>
      <c r="C7" s="457" t="s">
        <v>225</v>
      </c>
      <c r="D7" s="457" t="s">
        <v>225</v>
      </c>
      <c r="E7" s="457" t="s">
        <v>225</v>
      </c>
      <c r="F7" s="457" t="s">
        <v>225</v>
      </c>
      <c r="G7" s="457" t="s">
        <v>231</v>
      </c>
      <c r="H7" s="457" t="s">
        <v>230</v>
      </c>
      <c r="I7" s="460" t="s">
        <v>231</v>
      </c>
    </row>
    <row r="8" spans="1:9" x14ac:dyDescent="0.25">
      <c r="A8" s="841"/>
      <c r="B8" s="378" t="s">
        <v>13</v>
      </c>
      <c r="C8" s="457" t="s">
        <v>225</v>
      </c>
      <c r="D8" s="457" t="s">
        <v>225</v>
      </c>
      <c r="E8" s="457" t="s">
        <v>225</v>
      </c>
      <c r="F8" s="457" t="s">
        <v>225</v>
      </c>
      <c r="G8" s="457" t="s">
        <v>230</v>
      </c>
      <c r="H8" s="457" t="s">
        <v>231</v>
      </c>
      <c r="I8" s="460" t="s">
        <v>230</v>
      </c>
    </row>
    <row r="9" spans="1:9" x14ac:dyDescent="0.25">
      <c r="A9" s="841"/>
      <c r="B9" s="378" t="s">
        <v>226</v>
      </c>
      <c r="C9" s="457" t="s">
        <v>225</v>
      </c>
      <c r="D9" s="457" t="s">
        <v>225</v>
      </c>
      <c r="E9" s="457" t="s">
        <v>225</v>
      </c>
      <c r="F9" s="457"/>
      <c r="G9" s="457" t="s">
        <v>231</v>
      </c>
      <c r="H9" s="457" t="s">
        <v>230</v>
      </c>
      <c r="I9" s="460" t="s">
        <v>230</v>
      </c>
    </row>
    <row r="10" spans="1:9" x14ac:dyDescent="0.25">
      <c r="A10" s="841"/>
      <c r="B10" s="378" t="s">
        <v>227</v>
      </c>
      <c r="C10" s="457" t="s">
        <v>225</v>
      </c>
      <c r="D10" s="457" t="s">
        <v>225</v>
      </c>
      <c r="E10" s="457" t="s">
        <v>225</v>
      </c>
      <c r="F10" s="457" t="s">
        <v>225</v>
      </c>
      <c r="G10" s="457" t="s">
        <v>230</v>
      </c>
      <c r="H10" s="457" t="s">
        <v>230</v>
      </c>
      <c r="I10" s="460" t="s">
        <v>230</v>
      </c>
    </row>
    <row r="11" spans="1:9" x14ac:dyDescent="0.25">
      <c r="A11" s="841"/>
      <c r="B11" s="378" t="s">
        <v>327</v>
      </c>
      <c r="C11" s="457" t="s">
        <v>225</v>
      </c>
      <c r="D11" s="457" t="s">
        <v>225</v>
      </c>
      <c r="E11" s="457" t="s">
        <v>225</v>
      </c>
      <c r="F11" s="457" t="s">
        <v>225</v>
      </c>
      <c r="G11" s="481" t="s">
        <v>230</v>
      </c>
      <c r="H11" s="481" t="s">
        <v>230</v>
      </c>
      <c r="I11" s="622" t="s">
        <v>230</v>
      </c>
    </row>
    <row r="12" spans="1:9" x14ac:dyDescent="0.25">
      <c r="A12" s="841"/>
      <c r="B12" s="865" t="s">
        <v>258</v>
      </c>
      <c r="C12" s="860"/>
      <c r="D12" s="860"/>
      <c r="E12" s="860"/>
      <c r="F12" s="860" t="s">
        <v>233</v>
      </c>
      <c r="G12" s="852" t="s">
        <v>230</v>
      </c>
      <c r="H12" s="852" t="s">
        <v>230</v>
      </c>
      <c r="I12" s="854" t="s">
        <v>230</v>
      </c>
    </row>
    <row r="13" spans="1:9" x14ac:dyDescent="0.25">
      <c r="A13" s="841"/>
      <c r="B13" s="865"/>
      <c r="C13" s="860"/>
      <c r="D13" s="860"/>
      <c r="E13" s="860"/>
      <c r="F13" s="860"/>
      <c r="G13" s="853"/>
      <c r="H13" s="853"/>
      <c r="I13" s="855"/>
    </row>
    <row r="14" spans="1:9" ht="30" x14ac:dyDescent="0.25">
      <c r="A14" s="841"/>
      <c r="B14" s="480" t="s">
        <v>263</v>
      </c>
      <c r="C14" s="457" t="s">
        <v>233</v>
      </c>
      <c r="D14" s="457" t="s">
        <v>233</v>
      </c>
      <c r="E14" s="457" t="s">
        <v>233</v>
      </c>
      <c r="F14" s="457" t="s">
        <v>233</v>
      </c>
      <c r="G14" s="458" t="s">
        <v>230</v>
      </c>
      <c r="H14" s="458" t="s">
        <v>230</v>
      </c>
      <c r="I14" s="459" t="s">
        <v>230</v>
      </c>
    </row>
    <row r="15" spans="1:9" x14ac:dyDescent="0.25">
      <c r="A15" s="841"/>
      <c r="B15" s="378" t="s">
        <v>236</v>
      </c>
      <c r="C15" s="457" t="s">
        <v>225</v>
      </c>
      <c r="D15" s="457" t="s">
        <v>225</v>
      </c>
      <c r="E15" s="457" t="s">
        <v>225</v>
      </c>
      <c r="F15" s="457" t="s">
        <v>225</v>
      </c>
      <c r="G15" s="457" t="s">
        <v>230</v>
      </c>
      <c r="H15" s="457" t="s">
        <v>231</v>
      </c>
      <c r="I15" s="460" t="s">
        <v>230</v>
      </c>
    </row>
    <row r="16" spans="1:9" x14ac:dyDescent="0.25">
      <c r="A16" s="841"/>
      <c r="B16" s="858" t="s">
        <v>394</v>
      </c>
      <c r="C16" s="859" t="s">
        <v>225</v>
      </c>
      <c r="D16" s="860" t="s">
        <v>225</v>
      </c>
      <c r="E16" s="860" t="s">
        <v>225</v>
      </c>
      <c r="F16" s="859" t="s">
        <v>225</v>
      </c>
      <c r="G16" s="852" t="s">
        <v>231</v>
      </c>
      <c r="H16" s="852" t="s">
        <v>231</v>
      </c>
      <c r="I16" s="854" t="s">
        <v>230</v>
      </c>
    </row>
    <row r="17" spans="1:9" ht="0.95" customHeight="1" x14ac:dyDescent="0.25">
      <c r="A17" s="841"/>
      <c r="B17" s="858"/>
      <c r="C17" s="859"/>
      <c r="D17" s="860"/>
      <c r="E17" s="860"/>
      <c r="F17" s="859"/>
      <c r="G17" s="853"/>
      <c r="H17" s="853"/>
      <c r="I17" s="855"/>
    </row>
    <row r="18" spans="1:9" ht="39" x14ac:dyDescent="0.25">
      <c r="A18" s="841"/>
      <c r="B18" s="378" t="s">
        <v>248</v>
      </c>
      <c r="C18" s="457" t="s">
        <v>225</v>
      </c>
      <c r="D18" s="457" t="s">
        <v>225</v>
      </c>
      <c r="E18" s="457" t="s">
        <v>225</v>
      </c>
      <c r="F18" s="457" t="s">
        <v>225</v>
      </c>
      <c r="G18" s="588" t="s">
        <v>307</v>
      </c>
      <c r="H18" s="457" t="s">
        <v>231</v>
      </c>
      <c r="I18" s="460" t="s">
        <v>230</v>
      </c>
    </row>
    <row r="19" spans="1:9" x14ac:dyDescent="0.25">
      <c r="A19" s="841"/>
      <c r="B19" s="378" t="s">
        <v>67</v>
      </c>
      <c r="C19" s="457" t="s">
        <v>225</v>
      </c>
      <c r="D19" s="457" t="s">
        <v>225</v>
      </c>
      <c r="E19" s="457" t="s">
        <v>225</v>
      </c>
      <c r="F19" s="457" t="s">
        <v>225</v>
      </c>
      <c r="G19" s="457" t="s">
        <v>231</v>
      </c>
      <c r="H19" s="481" t="s">
        <v>231</v>
      </c>
      <c r="I19" s="460" t="s">
        <v>231</v>
      </c>
    </row>
    <row r="20" spans="1:9" x14ac:dyDescent="0.25">
      <c r="A20" s="841"/>
      <c r="B20" s="378" t="s">
        <v>232</v>
      </c>
      <c r="C20" s="457" t="s">
        <v>225</v>
      </c>
      <c r="D20" s="457" t="s">
        <v>225</v>
      </c>
      <c r="E20" s="457" t="s">
        <v>225</v>
      </c>
      <c r="F20" s="457" t="s">
        <v>225</v>
      </c>
      <c r="G20" s="457" t="s">
        <v>230</v>
      </c>
      <c r="H20" s="856" t="s">
        <v>252</v>
      </c>
      <c r="I20" s="460" t="s">
        <v>230</v>
      </c>
    </row>
    <row r="21" spans="1:9" ht="15.75" thickBot="1" x14ac:dyDescent="0.3">
      <c r="A21" s="841"/>
      <c r="B21" s="478" t="s">
        <v>229</v>
      </c>
      <c r="C21" s="461" t="s">
        <v>225</v>
      </c>
      <c r="D21" s="461" t="s">
        <v>225</v>
      </c>
      <c r="E21" s="461" t="s">
        <v>225</v>
      </c>
      <c r="F21" s="461" t="s">
        <v>225</v>
      </c>
      <c r="G21" s="461" t="s">
        <v>230</v>
      </c>
      <c r="H21" s="857"/>
      <c r="I21" s="462" t="s">
        <v>230</v>
      </c>
    </row>
    <row r="22" spans="1:9" x14ac:dyDescent="0.25">
      <c r="A22" s="841"/>
      <c r="B22" s="479" t="s">
        <v>211</v>
      </c>
      <c r="C22" s="471"/>
      <c r="D22" s="471"/>
      <c r="E22" s="472"/>
      <c r="F22" s="472"/>
      <c r="G22" s="473"/>
      <c r="H22" s="473"/>
      <c r="I22" s="474"/>
    </row>
    <row r="23" spans="1:9" x14ac:dyDescent="0.25">
      <c r="A23" s="841"/>
      <c r="B23" s="482" t="s">
        <v>212</v>
      </c>
      <c r="C23" s="482"/>
      <c r="D23" s="482"/>
      <c r="E23" s="42"/>
      <c r="F23" s="42"/>
      <c r="G23" s="53"/>
      <c r="H23" s="53"/>
      <c r="I23" s="475"/>
    </row>
    <row r="24" spans="1:9" x14ac:dyDescent="0.25">
      <c r="A24" s="841"/>
      <c r="B24" s="482" t="s">
        <v>362</v>
      </c>
      <c r="C24" s="482"/>
      <c r="D24" s="482"/>
      <c r="E24" s="42"/>
      <c r="F24" s="42"/>
      <c r="G24" s="53"/>
      <c r="H24" s="53"/>
      <c r="I24" s="475"/>
    </row>
    <row r="25" spans="1:9" x14ac:dyDescent="0.25">
      <c r="A25" s="841"/>
      <c r="B25" s="850" t="s">
        <v>363</v>
      </c>
      <c r="C25" s="850"/>
      <c r="D25" s="850"/>
      <c r="E25" s="850"/>
      <c r="F25" s="850"/>
      <c r="G25" s="850"/>
      <c r="H25" s="850"/>
      <c r="I25" s="851"/>
    </row>
    <row r="26" spans="1:9" x14ac:dyDescent="0.25">
      <c r="A26" s="841"/>
      <c r="B26" s="850"/>
      <c r="C26" s="850"/>
      <c r="D26" s="850"/>
      <c r="E26" s="850"/>
      <c r="F26" s="850"/>
      <c r="G26" s="850"/>
      <c r="H26" s="850"/>
      <c r="I26" s="851"/>
    </row>
    <row r="27" spans="1:9" ht="15.75" thickBot="1" x14ac:dyDescent="0.3">
      <c r="A27" s="842"/>
      <c r="B27" s="476"/>
      <c r="C27" s="476"/>
      <c r="D27" s="476"/>
      <c r="E27" s="476"/>
      <c r="F27" s="476"/>
      <c r="G27" s="476"/>
      <c r="H27" s="476"/>
      <c r="I27" s="477"/>
    </row>
    <row r="28" spans="1:9" x14ac:dyDescent="0.25">
      <c r="B28" s="56"/>
      <c r="C28" s="56"/>
      <c r="D28" s="56"/>
      <c r="E28" s="56"/>
      <c r="F28" s="56"/>
      <c r="G28" s="56"/>
      <c r="H28" s="56"/>
      <c r="I28" s="56"/>
    </row>
    <row r="29" spans="1:9" ht="15.75" thickBot="1" x14ac:dyDescent="0.3">
      <c r="B29" s="453"/>
      <c r="C29" s="453"/>
      <c r="D29" s="453"/>
      <c r="E29" s="71"/>
      <c r="F29" s="456"/>
      <c r="G29" s="70"/>
      <c r="H29" s="70"/>
      <c r="I29" s="70"/>
    </row>
    <row r="30" spans="1:9" ht="21.95" customHeight="1" thickBot="1" x14ac:dyDescent="0.4">
      <c r="A30" s="840" t="s">
        <v>244</v>
      </c>
      <c r="B30" s="838" t="s">
        <v>238</v>
      </c>
      <c r="C30" s="838"/>
      <c r="D30" s="838"/>
      <c r="E30" s="838"/>
      <c r="F30" s="838"/>
      <c r="G30" s="838"/>
      <c r="H30" s="838"/>
      <c r="I30" s="839"/>
    </row>
    <row r="31" spans="1:9" ht="36.950000000000003" customHeight="1" thickBot="1" x14ac:dyDescent="0.3">
      <c r="A31" s="841"/>
      <c r="B31" s="835" t="s">
        <v>413</v>
      </c>
      <c r="C31" s="836"/>
      <c r="D31" s="836"/>
      <c r="E31" s="836"/>
      <c r="F31" s="836"/>
      <c r="G31" s="836"/>
      <c r="H31" s="836"/>
      <c r="I31" s="837"/>
    </row>
    <row r="32" spans="1:9" ht="16.5" thickBot="1" x14ac:dyDescent="0.3">
      <c r="A32" s="841"/>
      <c r="B32" s="465" t="s">
        <v>255</v>
      </c>
      <c r="C32" s="465"/>
      <c r="D32" s="465"/>
      <c r="E32" s="465"/>
      <c r="F32" s="465"/>
      <c r="G32" s="884" t="s">
        <v>57</v>
      </c>
      <c r="H32" s="885"/>
      <c r="I32" s="886"/>
    </row>
    <row r="33" spans="1:11" x14ac:dyDescent="0.25">
      <c r="A33" s="841"/>
      <c r="B33" s="466" t="s">
        <v>214</v>
      </c>
      <c r="C33" s="466"/>
      <c r="D33" s="466"/>
      <c r="E33" s="466"/>
      <c r="F33" s="466"/>
      <c r="G33" s="881" t="s">
        <v>249</v>
      </c>
      <c r="H33" s="882"/>
      <c r="I33" s="883"/>
    </row>
    <row r="34" spans="1:11" x14ac:dyDescent="0.25">
      <c r="A34" s="841"/>
      <c r="B34" s="467" t="s">
        <v>264</v>
      </c>
      <c r="C34" s="467"/>
      <c r="D34" s="467"/>
      <c r="E34" s="467"/>
      <c r="F34" s="467"/>
      <c r="G34" s="872" t="s">
        <v>250</v>
      </c>
      <c r="H34" s="873"/>
      <c r="I34" s="874"/>
    </row>
    <row r="35" spans="1:11" ht="15.75" thickBot="1" x14ac:dyDescent="0.3">
      <c r="A35" s="841"/>
      <c r="B35" s="468" t="s">
        <v>265</v>
      </c>
      <c r="C35" s="468"/>
      <c r="D35" s="468"/>
      <c r="E35" s="468"/>
      <c r="F35" s="468"/>
      <c r="G35" s="875">
        <v>48</v>
      </c>
      <c r="H35" s="876"/>
      <c r="I35" s="877"/>
    </row>
    <row r="36" spans="1:11" ht="15.75" thickBot="1" x14ac:dyDescent="0.3">
      <c r="A36" s="841"/>
      <c r="B36" s="843"/>
      <c r="C36" s="844"/>
      <c r="D36" s="844"/>
      <c r="E36" s="844"/>
      <c r="F36" s="844"/>
      <c r="G36" s="844"/>
      <c r="H36" s="844"/>
      <c r="I36" s="845"/>
      <c r="J36" s="238"/>
      <c r="K36" s="238"/>
    </row>
    <row r="37" spans="1:11" ht="16.5" thickBot="1" x14ac:dyDescent="0.3">
      <c r="A37" s="841"/>
      <c r="B37" s="465" t="s">
        <v>254</v>
      </c>
      <c r="C37" s="465"/>
      <c r="D37" s="465"/>
      <c r="E37" s="465"/>
      <c r="F37" s="465"/>
      <c r="G37" s="878" t="s">
        <v>57</v>
      </c>
      <c r="H37" s="879"/>
      <c r="I37" s="880"/>
    </row>
    <row r="38" spans="1:11" x14ac:dyDescent="0.25">
      <c r="A38" s="841"/>
      <c r="B38" s="469" t="s">
        <v>216</v>
      </c>
      <c r="C38" s="469"/>
      <c r="D38" s="469"/>
      <c r="E38" s="469"/>
      <c r="F38" s="469"/>
      <c r="G38" s="881" t="s">
        <v>403</v>
      </c>
      <c r="H38" s="882"/>
      <c r="I38" s="883"/>
    </row>
    <row r="39" spans="1:11" x14ac:dyDescent="0.25">
      <c r="A39" s="841"/>
      <c r="B39" s="467" t="s">
        <v>365</v>
      </c>
      <c r="C39" s="467"/>
      <c r="D39" s="467"/>
      <c r="E39" s="467"/>
      <c r="F39" s="467"/>
      <c r="G39" s="872" t="s">
        <v>215</v>
      </c>
      <c r="H39" s="873"/>
      <c r="I39" s="874"/>
    </row>
    <row r="40" spans="1:11" x14ac:dyDescent="0.25">
      <c r="A40" s="841"/>
      <c r="B40" s="467" t="s">
        <v>384</v>
      </c>
      <c r="C40" s="467"/>
      <c r="D40" s="467"/>
      <c r="E40" s="467"/>
      <c r="F40" s="467"/>
      <c r="G40" s="872" t="s">
        <v>360</v>
      </c>
      <c r="H40" s="873"/>
      <c r="I40" s="874"/>
    </row>
    <row r="41" spans="1:11" ht="15.75" thickBot="1" x14ac:dyDescent="0.3">
      <c r="A41" s="841"/>
      <c r="B41" s="468" t="s">
        <v>385</v>
      </c>
      <c r="C41" s="468"/>
      <c r="D41" s="468"/>
      <c r="E41" s="468"/>
      <c r="F41" s="468"/>
      <c r="G41" s="875" t="s">
        <v>361</v>
      </c>
      <c r="H41" s="876"/>
      <c r="I41" s="877"/>
    </row>
    <row r="42" spans="1:11" ht="15.75" thickBot="1" x14ac:dyDescent="0.3">
      <c r="A42" s="841"/>
      <c r="B42" s="843"/>
      <c r="C42" s="844"/>
      <c r="D42" s="844"/>
      <c r="E42" s="844"/>
      <c r="F42" s="844"/>
      <c r="G42" s="844"/>
      <c r="H42" s="844"/>
      <c r="I42" s="845"/>
      <c r="J42" s="238"/>
      <c r="K42" s="238"/>
    </row>
    <row r="43" spans="1:11" ht="15.75" x14ac:dyDescent="0.25">
      <c r="A43" s="841"/>
      <c r="B43" s="454" t="s">
        <v>256</v>
      </c>
      <c r="C43" s="454"/>
      <c r="D43" s="454"/>
      <c r="E43" s="454"/>
      <c r="F43" s="454"/>
      <c r="G43" s="866" t="s">
        <v>219</v>
      </c>
      <c r="H43" s="867"/>
      <c r="I43" s="868"/>
    </row>
    <row r="44" spans="1:11" x14ac:dyDescent="0.25">
      <c r="A44" s="841"/>
      <c r="B44" s="455" t="s">
        <v>257</v>
      </c>
      <c r="C44" s="455"/>
      <c r="D44" s="455"/>
      <c r="E44" s="455"/>
      <c r="F44" s="455"/>
      <c r="G44" s="869"/>
      <c r="H44" s="870"/>
      <c r="I44" s="871"/>
    </row>
    <row r="45" spans="1:11" x14ac:dyDescent="0.25">
      <c r="A45" s="841"/>
      <c r="B45" s="470" t="s">
        <v>216</v>
      </c>
      <c r="C45" s="470"/>
      <c r="D45" s="470"/>
      <c r="E45" s="470"/>
      <c r="F45" s="470"/>
      <c r="G45" s="872" t="s">
        <v>217</v>
      </c>
      <c r="H45" s="873"/>
      <c r="I45" s="874"/>
    </row>
    <row r="46" spans="1:11" ht="15.75" thickBot="1" x14ac:dyDescent="0.3">
      <c r="A46" s="842"/>
      <c r="B46" s="265" t="s">
        <v>386</v>
      </c>
      <c r="C46" s="265"/>
      <c r="D46" s="265"/>
      <c r="E46" s="265"/>
      <c r="F46" s="265"/>
      <c r="G46" s="875" t="s">
        <v>218</v>
      </c>
      <c r="H46" s="876"/>
      <c r="I46" s="877"/>
    </row>
  </sheetData>
  <sheetProtection sheet="1" objects="1" scenarios="1"/>
  <mergeCells count="41">
    <mergeCell ref="G35:I35"/>
    <mergeCell ref="G37:I37"/>
    <mergeCell ref="G38:I38"/>
    <mergeCell ref="G32:I32"/>
    <mergeCell ref="G33:I33"/>
    <mergeCell ref="G34:I34"/>
    <mergeCell ref="G43:I44"/>
    <mergeCell ref="G45:I45"/>
    <mergeCell ref="G46:I46"/>
    <mergeCell ref="G39:I39"/>
    <mergeCell ref="G40:I40"/>
    <mergeCell ref="G41:I41"/>
    <mergeCell ref="B12:B13"/>
    <mergeCell ref="C12:C13"/>
    <mergeCell ref="D12:D13"/>
    <mergeCell ref="E12:E13"/>
    <mergeCell ref="F12:F13"/>
    <mergeCell ref="E16:E17"/>
    <mergeCell ref="F16:F17"/>
    <mergeCell ref="G4:G5"/>
    <mergeCell ref="H4:H5"/>
    <mergeCell ref="I4:I5"/>
    <mergeCell ref="G12:G13"/>
    <mergeCell ref="H12:H13"/>
    <mergeCell ref="I12:I13"/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6:G17"/>
    <mergeCell ref="H16:H17"/>
    <mergeCell ref="I16:I17"/>
    <mergeCell ref="H20:H21"/>
    <mergeCell ref="B16:B17"/>
    <mergeCell ref="C16:C17"/>
    <mergeCell ref="D16:D17"/>
  </mergeCells>
  <phoneticPr fontId="7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16"/>
  <sheetViews>
    <sheetView view="pageBreakPreview" zoomScaleSheetLayoutView="100" workbookViewId="0">
      <selection sqref="A1:I1"/>
    </sheetView>
  </sheetViews>
  <sheetFormatPr defaultColWidth="8.85546875" defaultRowHeight="15" x14ac:dyDescent="0.25"/>
  <cols>
    <col min="1" max="9" width="13.28515625" style="2" customWidth="1"/>
    <col min="10" max="10" width="9.28515625" style="2" bestFit="1" customWidth="1"/>
    <col min="11" max="16384" width="8.85546875" style="2"/>
  </cols>
  <sheetData>
    <row r="1" spans="1:22" ht="23.1" customHeight="1" x14ac:dyDescent="0.3">
      <c r="A1" s="1019" t="s">
        <v>19</v>
      </c>
      <c r="B1" s="1020"/>
      <c r="C1" s="1020"/>
      <c r="D1" s="1020"/>
      <c r="E1" s="1020"/>
      <c r="F1" s="1020"/>
      <c r="G1" s="1020"/>
      <c r="H1" s="1020"/>
      <c r="I1" s="1021"/>
      <c r="J1" s="39"/>
    </row>
    <row r="2" spans="1:22" ht="23.1" customHeight="1" x14ac:dyDescent="0.3">
      <c r="A2" s="1032" t="s">
        <v>6</v>
      </c>
      <c r="B2" s="1033"/>
      <c r="C2" s="1033"/>
      <c r="D2" s="1033"/>
      <c r="E2" s="1033"/>
      <c r="F2" s="1033"/>
      <c r="G2" s="1033"/>
      <c r="H2" s="1033"/>
      <c r="I2" s="1034"/>
    </row>
    <row r="3" spans="1:22" ht="24" customHeight="1" thickBot="1" x14ac:dyDescent="0.35">
      <c r="A3" s="1050" t="str">
        <f>'Forside 1'!A6:I6</f>
        <v>Gældende fra 1. september 2024</v>
      </c>
      <c r="B3" s="1051"/>
      <c r="C3" s="1051"/>
      <c r="D3" s="1051"/>
      <c r="E3" s="1051"/>
      <c r="F3" s="1051"/>
      <c r="G3" s="1051"/>
      <c r="H3" s="1051"/>
      <c r="I3" s="1052"/>
      <c r="N3" s="57"/>
      <c r="O3" s="57"/>
      <c r="P3" s="57"/>
      <c r="Q3" s="57"/>
      <c r="R3" s="57"/>
      <c r="S3" s="57"/>
      <c r="T3" s="57"/>
      <c r="U3" s="57"/>
      <c r="V3" s="57"/>
    </row>
    <row r="4" spans="1:22" ht="20.100000000000001" customHeight="1" thickBot="1" x14ac:dyDescent="0.35">
      <c r="A4" s="41"/>
      <c r="B4" s="41"/>
      <c r="C4" s="41"/>
      <c r="D4" s="41"/>
      <c r="E4" s="41"/>
      <c r="F4" s="41"/>
      <c r="G4" s="41"/>
      <c r="H4" s="41"/>
      <c r="I4" s="41"/>
      <c r="N4" s="1049"/>
      <c r="O4" s="1049"/>
      <c r="P4" s="1049"/>
      <c r="Q4" s="1049"/>
      <c r="R4" s="1049"/>
      <c r="S4" s="1049"/>
      <c r="T4" s="1049"/>
      <c r="U4" s="1049"/>
      <c r="V4" s="1049"/>
    </row>
    <row r="5" spans="1:22" ht="20.100000000000001" customHeight="1" x14ac:dyDescent="0.25">
      <c r="A5" s="911" t="s">
        <v>224</v>
      </c>
      <c r="B5" s="912"/>
      <c r="C5" s="912"/>
      <c r="D5" s="912"/>
      <c r="E5" s="912"/>
      <c r="F5" s="912"/>
      <c r="G5" s="912"/>
      <c r="H5" s="913"/>
      <c r="I5" s="62"/>
      <c r="N5" s="57"/>
      <c r="O5" s="57"/>
      <c r="P5" s="57"/>
      <c r="Q5" s="57"/>
      <c r="R5" s="57"/>
      <c r="S5" s="57"/>
      <c r="T5" s="57"/>
      <c r="U5" s="57"/>
      <c r="V5" s="57"/>
    </row>
    <row r="6" spans="1:22" ht="20.100000000000001" customHeight="1" thickBot="1" x14ac:dyDescent="0.3">
      <c r="A6" s="991" t="s">
        <v>330</v>
      </c>
      <c r="B6" s="992"/>
      <c r="C6" s="992"/>
      <c r="D6" s="992"/>
      <c r="E6" s="992"/>
      <c r="F6" s="992"/>
      <c r="G6" s="992"/>
      <c r="H6" s="993"/>
      <c r="I6" s="62"/>
      <c r="N6" s="57"/>
      <c r="O6" s="57"/>
      <c r="P6" s="57"/>
      <c r="Q6" s="57"/>
      <c r="R6" s="57"/>
      <c r="S6" s="57"/>
      <c r="T6" s="57"/>
      <c r="U6" s="57"/>
      <c r="V6" s="57"/>
    </row>
    <row r="7" spans="1:22" ht="24" customHeight="1" thickBot="1" x14ac:dyDescent="0.3">
      <c r="A7" s="1059" t="s">
        <v>94</v>
      </c>
      <c r="B7" s="1056" t="s">
        <v>0</v>
      </c>
      <c r="C7" s="890" t="s">
        <v>4</v>
      </c>
      <c r="D7" s="890"/>
      <c r="E7" s="948"/>
      <c r="F7" s="1053" t="s">
        <v>5</v>
      </c>
      <c r="G7" s="1054"/>
      <c r="H7" s="1055"/>
      <c r="I7" s="63"/>
    </row>
    <row r="8" spans="1:22" ht="30" x14ac:dyDescent="0.25">
      <c r="A8" s="1060"/>
      <c r="B8" s="1057"/>
      <c r="C8" s="311" t="s">
        <v>131</v>
      </c>
      <c r="D8" s="311" t="s">
        <v>301</v>
      </c>
      <c r="E8" s="311" t="s">
        <v>243</v>
      </c>
      <c r="F8" s="311" t="s">
        <v>131</v>
      </c>
      <c r="G8" s="311" t="s">
        <v>301</v>
      </c>
      <c r="H8" s="311" t="s">
        <v>243</v>
      </c>
      <c r="I8" s="50"/>
    </row>
    <row r="9" spans="1:22" ht="18" customHeight="1" thickBot="1" x14ac:dyDescent="0.3">
      <c r="A9" s="1061"/>
      <c r="B9" s="1058"/>
      <c r="C9" s="312">
        <v>40999</v>
      </c>
      <c r="D9" s="312" t="str">
        <f>'Løntabel gældende fra'!$D$1</f>
        <v>01/04/24</v>
      </c>
      <c r="E9" s="312" t="str">
        <f>'Løntabel gældende fra'!$D$1</f>
        <v>01/04/24</v>
      </c>
      <c r="F9" s="313">
        <v>40999</v>
      </c>
      <c r="G9" s="312" t="str">
        <f>'Løntabel gældende fra'!$D$1</f>
        <v>01/04/24</v>
      </c>
      <c r="H9" s="312" t="str">
        <f>'Løntabel gældende fra'!$D$1</f>
        <v>01/04/24</v>
      </c>
      <c r="I9" s="61"/>
    </row>
    <row r="10" spans="1:22" ht="15" customHeight="1" x14ac:dyDescent="0.25">
      <c r="A10" s="316" t="s">
        <v>1</v>
      </c>
      <c r="B10" s="317">
        <v>1</v>
      </c>
      <c r="C10" s="135">
        <v>279695</v>
      </c>
      <c r="D10" s="746">
        <f>ROUND(C10+(C10*'Løntabel gældende fra'!$D$7%),2)</f>
        <v>343484.2</v>
      </c>
      <c r="E10" s="735">
        <f>ROUND(D10/12,2)</f>
        <v>28623.68</v>
      </c>
      <c r="F10" s="135">
        <v>271288</v>
      </c>
      <c r="G10" s="136">
        <f>ROUND(F10+(F10*'Løntabel gældende fra'!$D$7%),2)</f>
        <v>333159.84000000003</v>
      </c>
      <c r="H10" s="735">
        <f>ROUND(G10/12,2)</f>
        <v>27763.32</v>
      </c>
      <c r="I10" s="10"/>
    </row>
    <row r="11" spans="1:22" ht="15" customHeight="1" x14ac:dyDescent="0.25">
      <c r="A11" s="318" t="s">
        <v>51</v>
      </c>
      <c r="B11" s="319">
        <v>2</v>
      </c>
      <c r="C11" s="137">
        <v>298044</v>
      </c>
      <c r="D11" s="411">
        <f>ROUND(C11+(C11*'Løntabel gældende fra'!$D$7%),2)</f>
        <v>366018</v>
      </c>
      <c r="E11" s="736">
        <f t="shared" ref="E11:E13" si="0">ROUND(D11/12,2)</f>
        <v>30501.5</v>
      </c>
      <c r="F11" s="137">
        <v>284395</v>
      </c>
      <c r="G11" s="139">
        <f>ROUND(F11+(F11*'Løntabel gældende fra'!$D$7%),2)</f>
        <v>349256.11</v>
      </c>
      <c r="H11" s="736">
        <f t="shared" ref="H11:H13" si="1">ROUND(G11/12,2)</f>
        <v>29104.68</v>
      </c>
      <c r="I11" s="10"/>
    </row>
    <row r="12" spans="1:22" ht="15" customHeight="1" x14ac:dyDescent="0.25">
      <c r="A12" s="318" t="s">
        <v>2</v>
      </c>
      <c r="B12" s="319">
        <v>3</v>
      </c>
      <c r="C12" s="137">
        <v>325699</v>
      </c>
      <c r="D12" s="411">
        <f>ROUND(C12+(C12*'Løntabel gældende fra'!$D$7%),2)</f>
        <v>399980.19</v>
      </c>
      <c r="E12" s="736">
        <f t="shared" si="0"/>
        <v>33331.68</v>
      </c>
      <c r="F12" s="137">
        <v>295011</v>
      </c>
      <c r="G12" s="139">
        <f>ROUND(F12+(F12*'Løntabel gældende fra'!$D$7%),2)</f>
        <v>362293.27</v>
      </c>
      <c r="H12" s="736">
        <f t="shared" si="1"/>
        <v>30191.11</v>
      </c>
      <c r="I12" s="10"/>
    </row>
    <row r="13" spans="1:22" ht="15" customHeight="1" thickBot="1" x14ac:dyDescent="0.3">
      <c r="A13" s="320" t="s">
        <v>3</v>
      </c>
      <c r="B13" s="321">
        <v>4</v>
      </c>
      <c r="C13" s="141">
        <v>351388</v>
      </c>
      <c r="D13" s="739">
        <f>ROUND(C13+(C13*'Løntabel gældende fra'!$D$7%),2)</f>
        <v>431528.01</v>
      </c>
      <c r="E13" s="737">
        <f t="shared" si="0"/>
        <v>35960.67</v>
      </c>
      <c r="F13" s="141">
        <v>313754</v>
      </c>
      <c r="G13" s="738">
        <f>ROUND(F13+(F13*'Løntabel gældende fra'!$D$7%),2)</f>
        <v>385310.93</v>
      </c>
      <c r="H13" s="737">
        <f t="shared" si="1"/>
        <v>32109.24</v>
      </c>
      <c r="I13" s="10"/>
    </row>
    <row r="14" spans="1:22" ht="21" customHeight="1" thickBot="1" x14ac:dyDescent="0.3">
      <c r="A14" s="8"/>
      <c r="B14" s="8"/>
      <c r="C14" s="9"/>
      <c r="D14" s="8"/>
      <c r="E14" s="8"/>
      <c r="F14" s="9"/>
      <c r="G14" s="8"/>
      <c r="H14" s="8"/>
      <c r="I14" s="10"/>
    </row>
    <row r="15" spans="1:22" ht="20.100000000000001" customHeight="1" x14ac:dyDescent="0.25">
      <c r="A15" s="911" t="s">
        <v>315</v>
      </c>
      <c r="B15" s="912"/>
      <c r="C15" s="912"/>
      <c r="D15" s="912"/>
      <c r="E15" s="912"/>
      <c r="F15" s="912"/>
      <c r="G15" s="912"/>
      <c r="H15" s="913"/>
      <c r="I15" s="62"/>
    </row>
    <row r="16" spans="1:22" ht="20.100000000000001" customHeight="1" thickBot="1" x14ac:dyDescent="0.3">
      <c r="A16" s="991" t="s">
        <v>331</v>
      </c>
      <c r="B16" s="992"/>
      <c r="C16" s="992"/>
      <c r="D16" s="992"/>
      <c r="E16" s="992"/>
      <c r="F16" s="992"/>
      <c r="G16" s="992"/>
      <c r="H16" s="993"/>
      <c r="I16" s="62"/>
    </row>
    <row r="17" spans="1:9" ht="23.1" customHeight="1" thickBot="1" x14ac:dyDescent="0.3">
      <c r="A17" s="920" t="s">
        <v>11</v>
      </c>
      <c r="B17" s="921"/>
      <c r="C17" s="889" t="s">
        <v>4</v>
      </c>
      <c r="D17" s="890"/>
      <c r="E17" s="948"/>
      <c r="F17" s="1053" t="s">
        <v>5</v>
      </c>
      <c r="G17" s="1054"/>
      <c r="H17" s="1055"/>
      <c r="I17" s="63"/>
    </row>
    <row r="18" spans="1:9" x14ac:dyDescent="0.25">
      <c r="A18" s="1027"/>
      <c r="B18" s="1028"/>
      <c r="C18" s="918" t="s">
        <v>203</v>
      </c>
      <c r="D18" s="311" t="s">
        <v>98</v>
      </c>
      <c r="E18" s="311" t="s">
        <v>300</v>
      </c>
      <c r="F18" s="918" t="s">
        <v>203</v>
      </c>
      <c r="G18" s="311" t="s">
        <v>99</v>
      </c>
      <c r="H18" s="311" t="s">
        <v>300</v>
      </c>
      <c r="I18" s="11"/>
    </row>
    <row r="19" spans="1:9" ht="15.75" thickBot="1" x14ac:dyDescent="0.3">
      <c r="A19" s="1027"/>
      <c r="B19" s="1028"/>
      <c r="C19" s="936"/>
      <c r="D19" s="314">
        <v>40999</v>
      </c>
      <c r="E19" s="315" t="str">
        <f>'Løntabel gældende fra'!$D$1</f>
        <v>01/04/24</v>
      </c>
      <c r="F19" s="936"/>
      <c r="G19" s="314">
        <v>40999</v>
      </c>
      <c r="H19" s="315" t="str">
        <f>'Løntabel gældende fra'!$D$1</f>
        <v>01/04/24</v>
      </c>
      <c r="I19" s="64"/>
    </row>
    <row r="20" spans="1:9" ht="15" customHeight="1" x14ac:dyDescent="0.25">
      <c r="A20" s="1027"/>
      <c r="B20" s="1029"/>
      <c r="C20" s="143" t="s">
        <v>43</v>
      </c>
      <c r="D20" s="144">
        <v>16.38</v>
      </c>
      <c r="E20" s="138">
        <f>ROUND(D20+(D20*'Løntabel gældende fra'!$D$7%),2)</f>
        <v>20.12</v>
      </c>
      <c r="F20" s="145" t="s">
        <v>47</v>
      </c>
      <c r="G20" s="146">
        <v>22.4054</v>
      </c>
      <c r="H20" s="138">
        <f>ROUND(G20+(G20*'Løntabel gældende fra'!$D$7%),2)</f>
        <v>27.52</v>
      </c>
      <c r="I20" s="45"/>
    </row>
    <row r="21" spans="1:9" ht="15" customHeight="1" x14ac:dyDescent="0.25">
      <c r="A21" s="1027"/>
      <c r="B21" s="1029"/>
      <c r="C21" s="147" t="s">
        <v>44</v>
      </c>
      <c r="D21" s="139">
        <v>98.3</v>
      </c>
      <c r="E21" s="138">
        <f>ROUND(D21+(D21*'Løntabel gældende fra'!$D$7%),2)</f>
        <v>120.72</v>
      </c>
      <c r="F21" s="148" t="s">
        <v>48</v>
      </c>
      <c r="G21" s="149">
        <v>65.525400000000005</v>
      </c>
      <c r="H21" s="138">
        <f>ROUND(G21+(G21*'Løntabel gældende fra'!$D$7%),2)</f>
        <v>80.47</v>
      </c>
      <c r="I21" s="45"/>
    </row>
    <row r="22" spans="1:9" ht="15" customHeight="1" x14ac:dyDescent="0.25">
      <c r="A22" s="1027"/>
      <c r="B22" s="1029"/>
      <c r="C22" s="147" t="s">
        <v>45</v>
      </c>
      <c r="D22" s="150">
        <v>131.07</v>
      </c>
      <c r="E22" s="138">
        <f>ROUND(D22+(D22*'Løntabel gældende fra'!$D$7%),2)</f>
        <v>160.96</v>
      </c>
      <c r="F22" s="148" t="s">
        <v>49</v>
      </c>
      <c r="G22" s="149">
        <v>131.07</v>
      </c>
      <c r="H22" s="138">
        <f>ROUND(G22+(G22*'Løntabel gældende fra'!$D$7%),2)</f>
        <v>160.96</v>
      </c>
      <c r="I22" s="45"/>
    </row>
    <row r="23" spans="1:9" ht="15" customHeight="1" thickBot="1" x14ac:dyDescent="0.3">
      <c r="A23" s="1030"/>
      <c r="B23" s="1031"/>
      <c r="C23" s="151" t="s">
        <v>46</v>
      </c>
      <c r="D23" s="152">
        <v>163.83000000000001</v>
      </c>
      <c r="E23" s="142">
        <f>ROUND(D23+(D23*'Løntabel gældende fra'!$D$7%),2)</f>
        <v>201.19</v>
      </c>
      <c r="F23" s="153" t="s">
        <v>50</v>
      </c>
      <c r="G23" s="154">
        <v>163.82830000000001</v>
      </c>
      <c r="H23" s="142">
        <f>ROUND(G23+(G23*'Løntabel gældende fra'!$D$7%),2)</f>
        <v>201.19</v>
      </c>
      <c r="I23" s="45"/>
    </row>
    <row r="24" spans="1:9" s="115" customFormat="1" ht="21" customHeight="1" thickBot="1" x14ac:dyDescent="0.25">
      <c r="A24" s="111"/>
      <c r="B24" s="111"/>
      <c r="C24" s="112"/>
      <c r="D24" s="113"/>
      <c r="E24" s="113"/>
      <c r="F24" s="112"/>
      <c r="G24" s="113"/>
      <c r="H24" s="113"/>
      <c r="I24" s="114"/>
    </row>
    <row r="25" spans="1:9" ht="20.100000000000001" customHeight="1" x14ac:dyDescent="0.25">
      <c r="A25" s="891" t="s">
        <v>209</v>
      </c>
      <c r="B25" s="1045"/>
      <c r="C25" s="1045"/>
      <c r="D25" s="1045"/>
      <c r="E25" s="1045"/>
      <c r="F25" s="1045"/>
      <c r="G25" s="1045"/>
      <c r="H25" s="1045"/>
      <c r="I25" s="1046"/>
    </row>
    <row r="26" spans="1:9" ht="20.100000000000001" customHeight="1" thickBot="1" x14ac:dyDescent="0.3">
      <c r="A26" s="901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01/04/24</v>
      </c>
      <c r="B26" s="902"/>
      <c r="C26" s="902"/>
      <c r="D26" s="902"/>
      <c r="E26" s="902"/>
      <c r="F26" s="902"/>
      <c r="G26" s="902"/>
      <c r="H26" s="902"/>
      <c r="I26" s="903"/>
    </row>
    <row r="27" spans="1:9" ht="24" customHeight="1" x14ac:dyDescent="0.25">
      <c r="A27" s="1025"/>
      <c r="B27" s="1026"/>
      <c r="C27" s="1023" t="s">
        <v>4</v>
      </c>
      <c r="D27" s="1023"/>
      <c r="E27" s="1024"/>
      <c r="F27" s="1022" t="s">
        <v>5</v>
      </c>
      <c r="G27" s="1023"/>
      <c r="H27" s="1023"/>
      <c r="I27" s="1024"/>
    </row>
    <row r="28" spans="1:9" ht="20.100000000000001" customHeight="1" x14ac:dyDescent="0.25">
      <c r="A28" s="1037" t="s">
        <v>12</v>
      </c>
      <c r="B28" s="1038"/>
      <c r="C28" s="1039"/>
      <c r="D28" s="1040"/>
      <c r="E28" s="1041"/>
      <c r="F28" s="1039"/>
      <c r="G28" s="1040"/>
      <c r="H28" s="1040"/>
      <c r="I28" s="1041"/>
    </row>
    <row r="29" spans="1:9" ht="32.25" customHeight="1" thickBot="1" x14ac:dyDescent="0.3">
      <c r="A29" s="1035" t="str">
        <f>"Mdr. undervisningstillæg pr. "&amp;'Løntabel gældende fra'!D1&amp;""</f>
        <v>Mdr. undervisningstillæg pr. 01/04/24</v>
      </c>
      <c r="B29" s="1036"/>
      <c r="C29" s="1042">
        <f>ROUND(IF(C28&lt;650,C28*E20,IF(AND(C28&gt;=650,C28&lt;700),650*E20+(C28-650)*E21,IF(AND(C28&gt;=700,C28&lt;750),650*E20+50*E21+(C28-700)*E22,IF(C28&gt;=750,650*E20+50*E21+50*E22+(C28-750)*E23,))))/12,2)</f>
        <v>0</v>
      </c>
      <c r="D29" s="1043" t="e">
        <f t="shared" ref="D29:H29" si="2">IF(D28&lt;750,D28*F20,IF(AND(D28&gt;=750,D28&lt;800),750*F20+(D28-750)*F21,IF(AND(D28&gt;=800,D28&lt;835),750*F20+50*F21+(D28-800)*F22,IF(D28&gt;=835,750*F20+50*F21+35*F22+(D28-835)*F23,))))</f>
        <v>#VALUE!</v>
      </c>
      <c r="E29" s="1044">
        <f t="shared" si="2"/>
        <v>0</v>
      </c>
      <c r="F29" s="1042">
        <f>IF(F28&lt;750,F28*H20,IF(AND(F28&gt;=750,F28&lt;800),750*H20+(F28-750)*H21,IF(AND(F28&gt;=800,F28&lt;835),750*H20+50*H21+(F28-800)*H22,IF(F28&gt;=835,750*H20+50*H21+35*H22+(F28-835)*H23,))))/12</f>
        <v>0</v>
      </c>
      <c r="G29" s="1043">
        <f t="shared" si="2"/>
        <v>0</v>
      </c>
      <c r="H29" s="1043">
        <f t="shared" si="2"/>
        <v>0</v>
      </c>
      <c r="I29" s="1044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 x14ac:dyDescent="0.3">
      <c r="A30" s="51"/>
      <c r="B30" s="51"/>
      <c r="C30" s="8"/>
      <c r="D30" s="8"/>
      <c r="E30" s="8"/>
      <c r="F30" s="8"/>
      <c r="G30" s="8"/>
      <c r="H30" s="8"/>
      <c r="I30" s="8"/>
    </row>
    <row r="31" spans="1:9" ht="20.100000000000001" customHeight="1" x14ac:dyDescent="0.25">
      <c r="A31" s="1064" t="s">
        <v>272</v>
      </c>
      <c r="B31" s="1065"/>
      <c r="C31" s="1065"/>
      <c r="D31" s="1065"/>
      <c r="E31" s="1065"/>
      <c r="F31" s="1065"/>
      <c r="G31" s="1065"/>
      <c r="H31" s="1065"/>
      <c r="I31" s="1066"/>
    </row>
    <row r="32" spans="1:9" ht="20.100000000000001" customHeight="1" x14ac:dyDescent="0.25">
      <c r="A32" s="1067" t="s">
        <v>210</v>
      </c>
      <c r="B32" s="1068"/>
      <c r="C32" s="1068"/>
      <c r="D32" s="1068"/>
      <c r="E32" s="1068"/>
      <c r="F32" s="1068"/>
      <c r="G32" s="1068"/>
      <c r="H32" s="1068"/>
      <c r="I32" s="1069"/>
    </row>
    <row r="33" spans="1:9" ht="20.100000000000001" customHeight="1" thickBot="1" x14ac:dyDescent="0.3">
      <c r="A33" s="1075" t="s">
        <v>280</v>
      </c>
      <c r="B33" s="1076"/>
      <c r="C33" s="1076"/>
      <c r="D33" s="1076"/>
      <c r="E33" s="1076"/>
      <c r="F33" s="1076"/>
      <c r="G33" s="1076"/>
      <c r="H33" s="1076"/>
      <c r="I33" s="1077"/>
    </row>
    <row r="34" spans="1:9" ht="24" customHeight="1" thickBot="1" x14ac:dyDescent="0.3">
      <c r="A34" s="919" t="s">
        <v>102</v>
      </c>
      <c r="B34" s="1062" t="s">
        <v>4</v>
      </c>
      <c r="C34" s="1062"/>
      <c r="D34" s="1062"/>
      <c r="E34" s="1063"/>
      <c r="F34" s="1087" t="s">
        <v>5</v>
      </c>
      <c r="G34" s="1062"/>
      <c r="H34" s="1062"/>
      <c r="I34" s="1063"/>
    </row>
    <row r="35" spans="1:9" ht="24" customHeight="1" thickBot="1" x14ac:dyDescent="0.3">
      <c r="A35" s="936"/>
      <c r="B35" s="412" t="s">
        <v>7</v>
      </c>
      <c r="C35" s="413" t="s">
        <v>8</v>
      </c>
      <c r="D35" s="412" t="s">
        <v>10</v>
      </c>
      <c r="E35" s="414" t="s">
        <v>9</v>
      </c>
      <c r="F35" s="415" t="s">
        <v>7</v>
      </c>
      <c r="G35" s="416" t="s">
        <v>8</v>
      </c>
      <c r="H35" s="346" t="s">
        <v>10</v>
      </c>
      <c r="I35" s="417" t="s">
        <v>9</v>
      </c>
    </row>
    <row r="36" spans="1:9" ht="15" customHeight="1" x14ac:dyDescent="0.25">
      <c r="A36" s="322">
        <v>1</v>
      </c>
      <c r="B36" s="406">
        <v>325</v>
      </c>
      <c r="C36" s="409">
        <v>575</v>
      </c>
      <c r="D36" s="406">
        <v>900</v>
      </c>
      <c r="E36" s="156">
        <v>1150</v>
      </c>
      <c r="F36" s="411">
        <v>375</v>
      </c>
      <c r="G36" s="160">
        <v>625</v>
      </c>
      <c r="H36" s="333">
        <v>1000</v>
      </c>
      <c r="I36" s="160">
        <v>1250</v>
      </c>
    </row>
    <row r="37" spans="1:9" ht="15" customHeight="1" x14ac:dyDescent="0.25">
      <c r="A37" s="323">
        <v>2</v>
      </c>
      <c r="B37" s="407">
        <v>275</v>
      </c>
      <c r="C37" s="409">
        <v>475</v>
      </c>
      <c r="D37" s="407">
        <v>750</v>
      </c>
      <c r="E37" s="156">
        <v>950</v>
      </c>
      <c r="F37" s="331">
        <v>325</v>
      </c>
      <c r="G37" s="181">
        <v>575</v>
      </c>
      <c r="H37" s="336">
        <v>900</v>
      </c>
      <c r="I37" s="181">
        <v>1150</v>
      </c>
    </row>
    <row r="38" spans="1:9" ht="15" customHeight="1" x14ac:dyDescent="0.25">
      <c r="A38" s="323">
        <v>3</v>
      </c>
      <c r="B38" s="407">
        <v>175</v>
      </c>
      <c r="C38" s="409">
        <v>325</v>
      </c>
      <c r="D38" s="407">
        <v>500</v>
      </c>
      <c r="E38" s="156">
        <v>625</v>
      </c>
      <c r="F38" s="331">
        <v>300</v>
      </c>
      <c r="G38" s="181">
        <v>525</v>
      </c>
      <c r="H38" s="336">
        <v>825</v>
      </c>
      <c r="I38" s="181">
        <v>1050</v>
      </c>
    </row>
    <row r="39" spans="1:9" ht="15" customHeight="1" thickBot="1" x14ac:dyDescent="0.3">
      <c r="A39" s="324">
        <v>4</v>
      </c>
      <c r="B39" s="408">
        <v>175</v>
      </c>
      <c r="C39" s="410">
        <v>325</v>
      </c>
      <c r="D39" s="408">
        <v>500</v>
      </c>
      <c r="E39" s="157">
        <v>625</v>
      </c>
      <c r="F39" s="337">
        <v>300</v>
      </c>
      <c r="G39" s="161">
        <v>525</v>
      </c>
      <c r="H39" s="334">
        <v>825</v>
      </c>
      <c r="I39" s="161">
        <v>1050</v>
      </c>
    </row>
    <row r="40" spans="1:9" ht="24" customHeight="1" thickBot="1" x14ac:dyDescent="0.3">
      <c r="A40" s="52"/>
      <c r="B40" s="52"/>
      <c r="C40" s="8"/>
      <c r="D40" s="8"/>
      <c r="E40" s="8"/>
      <c r="F40" s="8"/>
      <c r="G40" s="8"/>
      <c r="H40" s="8"/>
      <c r="I40" s="8"/>
    </row>
    <row r="41" spans="1:9" ht="20.100000000000001" customHeight="1" x14ac:dyDescent="0.25">
      <c r="A41" s="891" t="s">
        <v>273</v>
      </c>
      <c r="B41" s="1045"/>
      <c r="C41" s="1045"/>
      <c r="D41" s="1045"/>
      <c r="E41" s="1045"/>
      <c r="F41" s="1045"/>
      <c r="G41" s="1046"/>
      <c r="H41" s="58"/>
      <c r="I41" s="7"/>
    </row>
    <row r="42" spans="1:9" ht="20.100000000000001" customHeight="1" thickBot="1" x14ac:dyDescent="0.3">
      <c r="A42" s="901" t="s">
        <v>281</v>
      </c>
      <c r="B42" s="902"/>
      <c r="C42" s="902"/>
      <c r="D42" s="902"/>
      <c r="E42" s="902"/>
      <c r="F42" s="902"/>
      <c r="G42" s="903"/>
      <c r="H42" s="58"/>
      <c r="I42" s="7"/>
    </row>
    <row r="43" spans="1:9" ht="12.95" customHeight="1" x14ac:dyDescent="0.25">
      <c r="A43" s="918" t="s">
        <v>0</v>
      </c>
      <c r="B43" s="889" t="s">
        <v>131</v>
      </c>
      <c r="C43" s="948"/>
      <c r="D43" s="889" t="s">
        <v>301</v>
      </c>
      <c r="E43" s="890"/>
      <c r="F43" s="889" t="s">
        <v>243</v>
      </c>
      <c r="G43" s="948"/>
      <c r="H43" s="42"/>
      <c r="I43" s="7"/>
    </row>
    <row r="44" spans="1:9" ht="14.1" customHeight="1" thickBot="1" x14ac:dyDescent="0.3">
      <c r="A44" s="936"/>
      <c r="B44" s="949">
        <f>$D$19</f>
        <v>40999</v>
      </c>
      <c r="C44" s="950"/>
      <c r="D44" s="949" t="str">
        <f>'Løntabel gældende fra'!$D$1</f>
        <v>01/04/24</v>
      </c>
      <c r="E44" s="942"/>
      <c r="F44" s="949" t="str">
        <f>'Løntabel gældende fra'!$D$1</f>
        <v>01/04/24</v>
      </c>
      <c r="G44" s="950"/>
      <c r="H44" s="42"/>
      <c r="I44" s="7"/>
    </row>
    <row r="45" spans="1:9" ht="15" customHeight="1" x14ac:dyDescent="0.25">
      <c r="A45" s="322">
        <v>1</v>
      </c>
      <c r="B45" s="984">
        <v>5200</v>
      </c>
      <c r="C45" s="984"/>
      <c r="D45" s="982">
        <f>ROUND(B45+(B45*'Løntabel gældende fra'!$D$7%),2)</f>
        <v>6385.95</v>
      </c>
      <c r="E45" s="983"/>
      <c r="F45" s="934">
        <f>ROUND(D45/12,2)</f>
        <v>532.16</v>
      </c>
      <c r="G45" s="935"/>
      <c r="H45" s="10"/>
      <c r="I45" s="7"/>
    </row>
    <row r="46" spans="1:9" ht="15" customHeight="1" x14ac:dyDescent="0.25">
      <c r="A46" s="323">
        <v>2</v>
      </c>
      <c r="B46" s="894">
        <v>7900</v>
      </c>
      <c r="C46" s="894"/>
      <c r="D46" s="968">
        <f>ROUND(B46+(B46*'Løntabel gældende fra'!$D$7%),2)</f>
        <v>9701.73</v>
      </c>
      <c r="E46" s="969"/>
      <c r="F46" s="895">
        <f>ROUND(D46/12,2)</f>
        <v>808.48</v>
      </c>
      <c r="G46" s="896"/>
      <c r="H46" s="10"/>
      <c r="I46" s="7"/>
    </row>
    <row r="47" spans="1:9" ht="15" customHeight="1" thickBot="1" x14ac:dyDescent="0.3">
      <c r="A47" s="324">
        <v>3</v>
      </c>
      <c r="B47" s="988">
        <v>7900</v>
      </c>
      <c r="C47" s="988"/>
      <c r="D47" s="963">
        <f>ROUND(B47+(B47*'Løntabel gældende fra'!$D$7%),2)</f>
        <v>9701.73</v>
      </c>
      <c r="E47" s="964"/>
      <c r="F47" s="986">
        <f>ROUND(D47/12,2)</f>
        <v>808.48</v>
      </c>
      <c r="G47" s="987"/>
      <c r="H47" s="10"/>
      <c r="I47" s="7"/>
    </row>
    <row r="48" spans="1:9" s="57" customFormat="1" ht="24" customHeight="1" thickBot="1" x14ac:dyDescent="0.3">
      <c r="A48" s="42"/>
      <c r="B48" s="54"/>
      <c r="C48" s="42"/>
      <c r="D48" s="55"/>
      <c r="E48" s="42"/>
      <c r="F48" s="55"/>
      <c r="G48" s="42"/>
      <c r="H48" s="42"/>
      <c r="I48" s="56"/>
    </row>
    <row r="49" spans="1:17" ht="20.100000000000001" customHeight="1" x14ac:dyDescent="0.25">
      <c r="A49" s="891" t="s">
        <v>328</v>
      </c>
      <c r="B49" s="892"/>
      <c r="C49" s="892"/>
      <c r="D49" s="892"/>
      <c r="E49" s="892"/>
      <c r="F49" s="892"/>
      <c r="G49" s="893"/>
      <c r="H49" s="59"/>
      <c r="K49" s="16"/>
      <c r="L49" s="16"/>
      <c r="M49" s="16"/>
      <c r="N49" s="16"/>
      <c r="O49" s="16"/>
      <c r="P49" s="16"/>
      <c r="Q49" s="16"/>
    </row>
    <row r="50" spans="1:17" ht="20.100000000000001" customHeight="1" thickBot="1" x14ac:dyDescent="0.3">
      <c r="A50" s="901" t="s">
        <v>282</v>
      </c>
      <c r="B50" s="902"/>
      <c r="C50" s="902"/>
      <c r="D50" s="902"/>
      <c r="E50" s="902"/>
      <c r="F50" s="902"/>
      <c r="G50" s="903"/>
      <c r="H50" s="59"/>
      <c r="K50" s="16"/>
      <c r="L50" s="16"/>
      <c r="M50" s="16"/>
      <c r="N50" s="16"/>
      <c r="O50" s="16"/>
      <c r="P50" s="16"/>
      <c r="Q50" s="16"/>
    </row>
    <row r="51" spans="1:17" ht="15.95" customHeight="1" x14ac:dyDescent="0.25">
      <c r="A51" s="918" t="s">
        <v>0</v>
      </c>
      <c r="B51" s="897" t="s">
        <v>131</v>
      </c>
      <c r="C51" s="898"/>
      <c r="D51" s="897" t="s">
        <v>301</v>
      </c>
      <c r="E51" s="898"/>
      <c r="F51" s="897" t="s">
        <v>243</v>
      </c>
      <c r="G51" s="898"/>
      <c r="H51" s="42"/>
      <c r="K51" s="16"/>
      <c r="L51" s="16"/>
      <c r="M51" s="16"/>
      <c r="N51" s="16"/>
      <c r="O51" s="16"/>
      <c r="P51" s="16"/>
      <c r="Q51" s="16"/>
    </row>
    <row r="52" spans="1:17" ht="15.95" customHeight="1" thickBot="1" x14ac:dyDescent="0.3">
      <c r="A52" s="919"/>
      <c r="B52" s="899">
        <f>C9</f>
        <v>40999</v>
      </c>
      <c r="C52" s="900"/>
      <c r="D52" s="965" t="str">
        <f>'Løntabel gældende fra'!D1</f>
        <v>01/04/24</v>
      </c>
      <c r="E52" s="900"/>
      <c r="F52" s="965" t="str">
        <f>'Løntabel gældende fra'!D1</f>
        <v>01/04/24</v>
      </c>
      <c r="G52" s="900"/>
      <c r="H52" s="42"/>
      <c r="K52" s="16"/>
      <c r="L52" s="16"/>
      <c r="M52" s="16"/>
      <c r="N52" s="16"/>
      <c r="O52" s="16"/>
      <c r="P52" s="16"/>
      <c r="Q52" s="16"/>
    </row>
    <row r="53" spans="1:17" ht="15" customHeight="1" x14ac:dyDescent="0.25">
      <c r="A53" s="322">
        <v>1</v>
      </c>
      <c r="B53" s="985">
        <v>2800</v>
      </c>
      <c r="C53" s="985"/>
      <c r="D53" s="887">
        <f>ROUND(B53+(B53*'Løntabel gældende fra'!$D$7%),2)</f>
        <v>3438.59</v>
      </c>
      <c r="E53" s="888"/>
      <c r="F53" s="982">
        <f>ROUND(D53/12,2)</f>
        <v>286.55</v>
      </c>
      <c r="G53" s="983"/>
      <c r="H53" s="10"/>
      <c r="K53" s="16"/>
      <c r="L53" s="16"/>
      <c r="M53" s="16"/>
      <c r="N53" s="16"/>
      <c r="O53" s="16"/>
      <c r="P53" s="16"/>
      <c r="Q53" s="16"/>
    </row>
    <row r="54" spans="1:17" ht="15" customHeight="1" x14ac:dyDescent="0.25">
      <c r="A54" s="323">
        <v>2</v>
      </c>
      <c r="B54" s="894">
        <v>2800</v>
      </c>
      <c r="C54" s="894"/>
      <c r="D54" s="895">
        <f>ROUND(B54+(B54*'Løntabel gældende fra'!$D$7%),2)</f>
        <v>3438.59</v>
      </c>
      <c r="E54" s="896"/>
      <c r="F54" s="966">
        <f t="shared" ref="F54:F56" si="3">ROUND(D54/12,2)</f>
        <v>286.55</v>
      </c>
      <c r="G54" s="967"/>
      <c r="H54" s="10"/>
      <c r="K54" s="16"/>
      <c r="L54" s="16"/>
      <c r="M54" s="16"/>
      <c r="N54" s="16"/>
      <c r="O54" s="16"/>
      <c r="P54" s="16"/>
      <c r="Q54" s="16"/>
    </row>
    <row r="55" spans="1:17" ht="15" customHeight="1" x14ac:dyDescent="0.25">
      <c r="A55" s="325">
        <v>3</v>
      </c>
      <c r="B55" s="894">
        <v>2800</v>
      </c>
      <c r="C55" s="894"/>
      <c r="D55" s="895">
        <f>ROUND(B55+(B55*'Løntabel gældende fra'!$D$7%),2)</f>
        <v>3438.59</v>
      </c>
      <c r="E55" s="896"/>
      <c r="F55" s="966">
        <f t="shared" si="3"/>
        <v>286.55</v>
      </c>
      <c r="G55" s="967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 x14ac:dyDescent="0.3">
      <c r="A56" s="324">
        <v>4</v>
      </c>
      <c r="B56" s="988">
        <v>2800</v>
      </c>
      <c r="C56" s="988"/>
      <c r="D56" s="986">
        <f>ROUND(B56+(B56*'Løntabel gældende fra'!$D$7%),2)</f>
        <v>3438.59</v>
      </c>
      <c r="E56" s="987"/>
      <c r="F56" s="963">
        <f t="shared" si="3"/>
        <v>286.55</v>
      </c>
      <c r="G56" s="964"/>
      <c r="H56" s="10"/>
      <c r="K56" s="16"/>
      <c r="L56" s="16"/>
      <c r="M56" s="16"/>
      <c r="N56" s="16"/>
      <c r="O56" s="16"/>
      <c r="P56" s="16"/>
      <c r="Q56" s="16"/>
    </row>
    <row r="57" spans="1:17" ht="24.95" customHeight="1" thickBot="1" x14ac:dyDescent="0.3">
      <c r="A57" s="42"/>
      <c r="B57" s="8"/>
      <c r="C57" s="8"/>
      <c r="D57" s="8"/>
      <c r="E57" s="8"/>
      <c r="F57" s="44"/>
      <c r="G57" s="44"/>
      <c r="H57" s="44"/>
      <c r="K57" s="16"/>
      <c r="L57" s="16"/>
      <c r="M57" s="16"/>
      <c r="N57" s="16"/>
      <c r="O57" s="16"/>
      <c r="P57" s="16"/>
      <c r="Q57" s="16"/>
    </row>
    <row r="58" spans="1:17" ht="20.100000000000001" customHeight="1" x14ac:dyDescent="0.25">
      <c r="A58" s="891" t="s">
        <v>329</v>
      </c>
      <c r="B58" s="892"/>
      <c r="C58" s="892"/>
      <c r="D58" s="892"/>
      <c r="E58" s="892"/>
      <c r="F58" s="892"/>
      <c r="G58" s="893"/>
      <c r="H58" s="59"/>
      <c r="K58" s="16"/>
      <c r="L58" s="16"/>
      <c r="M58" s="16"/>
      <c r="N58" s="16"/>
      <c r="O58" s="16"/>
      <c r="P58" s="16"/>
      <c r="Q58" s="16"/>
    </row>
    <row r="59" spans="1:17" ht="20.100000000000001" customHeight="1" thickBot="1" x14ac:dyDescent="0.3">
      <c r="A59" s="901" t="s">
        <v>282</v>
      </c>
      <c r="B59" s="902"/>
      <c r="C59" s="902"/>
      <c r="D59" s="902"/>
      <c r="E59" s="902"/>
      <c r="F59" s="902"/>
      <c r="G59" s="903"/>
      <c r="H59" s="59"/>
      <c r="K59" s="16"/>
      <c r="L59" s="16"/>
      <c r="M59" s="16"/>
      <c r="N59" s="16"/>
      <c r="O59" s="16"/>
      <c r="P59" s="16"/>
      <c r="Q59" s="16"/>
    </row>
    <row r="60" spans="1:17" ht="15.95" customHeight="1" x14ac:dyDescent="0.25">
      <c r="A60" s="918" t="s">
        <v>0</v>
      </c>
      <c r="B60" s="897" t="s">
        <v>131</v>
      </c>
      <c r="C60" s="898"/>
      <c r="D60" s="897" t="s">
        <v>301</v>
      </c>
      <c r="E60" s="898"/>
      <c r="F60" s="897" t="s">
        <v>243</v>
      </c>
      <c r="G60" s="898"/>
      <c r="H60" s="42"/>
      <c r="K60" s="16"/>
      <c r="L60" s="16"/>
      <c r="M60" s="16"/>
      <c r="N60" s="16"/>
      <c r="O60" s="16"/>
      <c r="P60" s="16"/>
      <c r="Q60" s="16"/>
    </row>
    <row r="61" spans="1:17" ht="15.95" customHeight="1" thickBot="1" x14ac:dyDescent="0.3">
      <c r="A61" s="919"/>
      <c r="B61" s="899">
        <f>B52</f>
        <v>40999</v>
      </c>
      <c r="C61" s="900"/>
      <c r="D61" s="965" t="str">
        <f>'Løntabel gældende fra'!D1</f>
        <v>01/04/24</v>
      </c>
      <c r="E61" s="900"/>
      <c r="F61" s="965" t="str">
        <f>'Løntabel gældende fra'!D1</f>
        <v>01/04/24</v>
      </c>
      <c r="G61" s="900"/>
      <c r="H61" s="42"/>
      <c r="K61" s="16"/>
      <c r="L61" s="16"/>
      <c r="M61" s="16"/>
      <c r="N61" s="16"/>
      <c r="O61" s="16"/>
      <c r="P61" s="16"/>
      <c r="Q61" s="16"/>
    </row>
    <row r="62" spans="1:17" ht="15" customHeight="1" x14ac:dyDescent="0.25">
      <c r="A62" s="322">
        <v>1</v>
      </c>
      <c r="B62" s="985">
        <v>900</v>
      </c>
      <c r="C62" s="985"/>
      <c r="D62" s="887">
        <f>ROUND(B62+(B62*'Løntabel gældende fra'!$D$7%),2)</f>
        <v>1105.26</v>
      </c>
      <c r="E62" s="888"/>
      <c r="F62" s="985">
        <f>ROUND(D62/12,2)</f>
        <v>92.11</v>
      </c>
      <c r="G62" s="983"/>
      <c r="H62" s="10"/>
      <c r="K62" s="16"/>
      <c r="L62" s="16"/>
      <c r="M62" s="16"/>
      <c r="N62" s="16"/>
      <c r="O62" s="16"/>
      <c r="P62" s="16"/>
      <c r="Q62" s="16"/>
    </row>
    <row r="63" spans="1:17" ht="15" customHeight="1" x14ac:dyDescent="0.25">
      <c r="A63" s="323">
        <v>2</v>
      </c>
      <c r="B63" s="894">
        <v>900</v>
      </c>
      <c r="C63" s="894"/>
      <c r="D63" s="895">
        <f>ROUND(B63+(B63*'Løntabel gældende fra'!$D$7%),2)</f>
        <v>1105.26</v>
      </c>
      <c r="E63" s="896"/>
      <c r="F63" s="984">
        <f>ROUND(D63/12,2)</f>
        <v>92.11</v>
      </c>
      <c r="G63" s="969"/>
      <c r="H63" s="10"/>
      <c r="K63" s="16"/>
      <c r="L63" s="16"/>
      <c r="M63" s="16"/>
      <c r="N63" s="16"/>
      <c r="O63" s="16"/>
      <c r="P63" s="16"/>
      <c r="Q63" s="16"/>
    </row>
    <row r="64" spans="1:17" ht="15" customHeight="1" x14ac:dyDescent="0.25">
      <c r="A64" s="325">
        <v>3</v>
      </c>
      <c r="B64" s="894">
        <v>900</v>
      </c>
      <c r="C64" s="894"/>
      <c r="D64" s="895">
        <f>ROUND(B64+(B64*'Løntabel gældende fra'!$D$7%),2)</f>
        <v>1105.26</v>
      </c>
      <c r="E64" s="896"/>
      <c r="F64" s="984">
        <f>ROUND(D64/12,2)</f>
        <v>92.11</v>
      </c>
      <c r="G64" s="969"/>
      <c r="H64" s="10"/>
      <c r="K64" s="16"/>
      <c r="L64" s="16"/>
      <c r="M64" s="16"/>
      <c r="N64" s="16"/>
      <c r="O64" s="16"/>
      <c r="P64" s="16"/>
      <c r="Q64" s="16"/>
    </row>
    <row r="65" spans="1:17" ht="15" customHeight="1" thickBot="1" x14ac:dyDescent="0.3">
      <c r="A65" s="324">
        <v>4</v>
      </c>
      <c r="B65" s="988">
        <v>900</v>
      </c>
      <c r="C65" s="988"/>
      <c r="D65" s="986">
        <f>ROUND(B65+(B65*'Løntabel gældende fra'!$D$7%),2)</f>
        <v>1105.26</v>
      </c>
      <c r="E65" s="987"/>
      <c r="F65" s="988">
        <f>ROUND(D65/12,2)</f>
        <v>92.11</v>
      </c>
      <c r="G65" s="964"/>
      <c r="H65" s="10"/>
      <c r="K65" s="16"/>
      <c r="L65" s="16"/>
      <c r="M65" s="16"/>
      <c r="N65" s="16"/>
      <c r="O65" s="16"/>
      <c r="P65" s="16"/>
      <c r="Q65" s="16"/>
    </row>
    <row r="66" spans="1:17" ht="24.95" customHeight="1" thickBot="1" x14ac:dyDescent="0.3">
      <c r="A66" s="42"/>
      <c r="B66" s="8"/>
      <c r="C66" s="8"/>
      <c r="D66" s="8"/>
      <c r="E66" s="8"/>
      <c r="F66" s="44"/>
      <c r="G66" s="44"/>
      <c r="H66" s="44"/>
      <c r="K66" s="16"/>
      <c r="L66" s="16"/>
      <c r="M66" s="16"/>
      <c r="N66" s="16"/>
      <c r="O66" s="16"/>
      <c r="P66" s="16"/>
      <c r="Q66" s="16"/>
    </row>
    <row r="67" spans="1:17" ht="20.100000000000001" customHeight="1" x14ac:dyDescent="0.25">
      <c r="A67" s="911" t="s">
        <v>274</v>
      </c>
      <c r="B67" s="912"/>
      <c r="C67" s="912"/>
      <c r="D67" s="912"/>
      <c r="E67" s="912"/>
      <c r="F67" s="912"/>
      <c r="G67" s="912"/>
      <c r="H67" s="912"/>
      <c r="I67" s="913"/>
    </row>
    <row r="68" spans="1:17" ht="20.100000000000001" customHeight="1" thickBot="1" x14ac:dyDescent="0.3">
      <c r="A68" s="991" t="s">
        <v>283</v>
      </c>
      <c r="B68" s="992"/>
      <c r="C68" s="992"/>
      <c r="D68" s="992"/>
      <c r="E68" s="992"/>
      <c r="F68" s="992"/>
      <c r="G68" s="992"/>
      <c r="H68" s="992"/>
      <c r="I68" s="993"/>
    </row>
    <row r="69" spans="1:17" ht="27.95" customHeight="1" x14ac:dyDescent="0.25">
      <c r="A69" s="1013" t="s">
        <v>260</v>
      </c>
      <c r="B69" s="1014"/>
      <c r="C69" s="1014"/>
      <c r="D69" s="1014"/>
      <c r="E69" s="1014"/>
      <c r="F69" s="1015"/>
      <c r="G69" s="305" t="s">
        <v>131</v>
      </c>
      <c r="H69" s="305" t="s">
        <v>101</v>
      </c>
      <c r="I69" s="564" t="s">
        <v>243</v>
      </c>
    </row>
    <row r="70" spans="1:17" ht="15" customHeight="1" thickBot="1" x14ac:dyDescent="0.3">
      <c r="A70" s="1013"/>
      <c r="B70" s="1014"/>
      <c r="C70" s="1014"/>
      <c r="D70" s="1014"/>
      <c r="E70" s="1014"/>
      <c r="F70" s="1015"/>
      <c r="G70" s="306">
        <f>C9</f>
        <v>40999</v>
      </c>
      <c r="H70" s="306">
        <f>C9</f>
        <v>40999</v>
      </c>
      <c r="I70" s="306" t="str">
        <f>'Løntabel gældende fra'!$D$1</f>
        <v>01/04/24</v>
      </c>
    </row>
    <row r="71" spans="1:17" ht="15" customHeight="1" thickBot="1" x14ac:dyDescent="0.3">
      <c r="A71" s="1016"/>
      <c r="B71" s="1017"/>
      <c r="C71" s="1017"/>
      <c r="D71" s="1017"/>
      <c r="E71" s="1017"/>
      <c r="F71" s="1018"/>
      <c r="G71" s="158">
        <v>19300</v>
      </c>
      <c r="H71" s="162">
        <f>ROUND(G71/12,2)</f>
        <v>1608.33</v>
      </c>
      <c r="I71" s="795">
        <f>ROUND(H71+(H71*'Løntabel gældende fra'!$D$7%),2)</f>
        <v>1975.14</v>
      </c>
    </row>
    <row r="72" spans="1:17" ht="24" customHeight="1" thickBot="1" x14ac:dyDescent="0.3">
      <c r="A72" s="7"/>
      <c r="B72" s="7"/>
      <c r="C72" s="7" t="s">
        <v>16</v>
      </c>
      <c r="D72" s="7"/>
      <c r="E72" s="7"/>
      <c r="F72" s="7"/>
      <c r="G72" s="7"/>
      <c r="H72" s="7"/>
      <c r="I72" s="7"/>
    </row>
    <row r="73" spans="1:17" ht="20.100000000000001" customHeight="1" x14ac:dyDescent="0.25">
      <c r="A73" s="911" t="s">
        <v>276</v>
      </c>
      <c r="B73" s="912"/>
      <c r="C73" s="912"/>
      <c r="D73" s="912"/>
      <c r="E73" s="912"/>
      <c r="F73" s="912"/>
      <c r="G73" s="912"/>
      <c r="H73" s="912"/>
      <c r="I73" s="913"/>
    </row>
    <row r="74" spans="1:17" ht="20.100000000000001" customHeight="1" thickBot="1" x14ac:dyDescent="0.3">
      <c r="A74" s="991" t="s">
        <v>275</v>
      </c>
      <c r="B74" s="992"/>
      <c r="C74" s="992"/>
      <c r="D74" s="992"/>
      <c r="E74" s="992"/>
      <c r="F74" s="992"/>
      <c r="G74" s="992"/>
      <c r="H74" s="992"/>
      <c r="I74" s="993"/>
    </row>
    <row r="75" spans="1:17" ht="27.95" customHeight="1" x14ac:dyDescent="0.25">
      <c r="A75" s="957" t="s">
        <v>339</v>
      </c>
      <c r="B75" s="958"/>
      <c r="C75" s="958"/>
      <c r="D75" s="958"/>
      <c r="E75" s="958"/>
      <c r="F75" s="958"/>
      <c r="G75" s="959"/>
      <c r="H75" s="389" t="s">
        <v>302</v>
      </c>
      <c r="I75" s="311" t="s">
        <v>303</v>
      </c>
    </row>
    <row r="76" spans="1:17" ht="33.950000000000003" customHeight="1" thickBot="1" x14ac:dyDescent="0.3">
      <c r="A76" s="960"/>
      <c r="B76" s="961"/>
      <c r="C76" s="961"/>
      <c r="D76" s="961"/>
      <c r="E76" s="961"/>
      <c r="F76" s="961"/>
      <c r="G76" s="962"/>
      <c r="H76" s="306">
        <f>C9</f>
        <v>40999</v>
      </c>
      <c r="I76" s="306" t="str">
        <f>'Løntabel gældende fra'!$D$1</f>
        <v>01/04/24</v>
      </c>
    </row>
    <row r="77" spans="1:17" ht="15" customHeight="1" thickBot="1" x14ac:dyDescent="0.3">
      <c r="A77" s="1047" t="s">
        <v>14</v>
      </c>
      <c r="B77" s="1048"/>
      <c r="C77" s="1048"/>
      <c r="D77" s="1048"/>
      <c r="E77" s="1048"/>
      <c r="F77" s="1048"/>
      <c r="G77" s="1048"/>
      <c r="H77" s="162">
        <v>19</v>
      </c>
      <c r="I77" s="163">
        <f>ROUND(H77+H77*'Løntabel gældende fra'!$D$7%,2)</f>
        <v>23.33</v>
      </c>
    </row>
    <row r="78" spans="1:17" ht="24" customHeight="1" thickBot="1" x14ac:dyDescent="0.3">
      <c r="A78" s="7"/>
      <c r="B78" s="7"/>
      <c r="C78" s="7"/>
      <c r="D78" s="7"/>
      <c r="E78" s="7"/>
      <c r="F78" s="7"/>
      <c r="G78" s="7"/>
      <c r="H78" s="7"/>
      <c r="I78" s="7"/>
    </row>
    <row r="79" spans="1:17" ht="20.100000000000001" customHeight="1" x14ac:dyDescent="0.25">
      <c r="A79" s="911" t="s">
        <v>408</v>
      </c>
      <c r="B79" s="912"/>
      <c r="C79" s="912"/>
      <c r="D79" s="912"/>
      <c r="E79" s="912"/>
      <c r="F79" s="912"/>
      <c r="G79" s="912"/>
      <c r="H79" s="912"/>
      <c r="I79" s="913"/>
    </row>
    <row r="80" spans="1:17" ht="20.100000000000001" customHeight="1" thickBot="1" x14ac:dyDescent="0.3">
      <c r="A80" s="991" t="s">
        <v>406</v>
      </c>
      <c r="B80" s="992"/>
      <c r="C80" s="992"/>
      <c r="D80" s="992"/>
      <c r="E80" s="992"/>
      <c r="F80" s="992"/>
      <c r="G80" s="992"/>
      <c r="H80" s="992"/>
      <c r="I80" s="993"/>
    </row>
    <row r="81" spans="1:22" ht="30.95" customHeight="1" x14ac:dyDescent="0.25">
      <c r="A81" s="1004" t="s">
        <v>409</v>
      </c>
      <c r="B81" s="1005"/>
      <c r="C81" s="1005"/>
      <c r="D81" s="1005"/>
      <c r="E81" s="1005"/>
      <c r="F81" s="1005"/>
      <c r="G81" s="1006"/>
      <c r="H81" s="305" t="s">
        <v>302</v>
      </c>
      <c r="I81" s="564" t="s">
        <v>303</v>
      </c>
    </row>
    <row r="82" spans="1:22" ht="15" customHeight="1" thickBot="1" x14ac:dyDescent="0.3">
      <c r="A82" s="1007"/>
      <c r="B82" s="1008"/>
      <c r="C82" s="1008"/>
      <c r="D82" s="1008"/>
      <c r="E82" s="1008"/>
      <c r="F82" s="1008"/>
      <c r="G82" s="1009"/>
      <c r="H82" s="306">
        <f>H76</f>
        <v>40999</v>
      </c>
      <c r="I82" s="306" t="str">
        <f>'Løntabel gældende fra'!$D$1</f>
        <v>01/04/24</v>
      </c>
    </row>
    <row r="83" spans="1:22" ht="15" customHeight="1" thickBot="1" x14ac:dyDescent="0.3">
      <c r="A83" s="1010" t="s">
        <v>407</v>
      </c>
      <c r="B83" s="1011"/>
      <c r="C83" s="1011"/>
      <c r="D83" s="1011"/>
      <c r="E83" s="1011"/>
      <c r="F83" s="1011"/>
      <c r="G83" s="1012"/>
      <c r="H83" s="158">
        <v>267.31</v>
      </c>
      <c r="I83" s="159">
        <f>ROUND(H83+(H83*'Løntabel gældende fra'!$D$7%),2)</f>
        <v>328.27</v>
      </c>
    </row>
    <row r="84" spans="1:22" ht="15" customHeight="1" thickBot="1" x14ac:dyDescent="0.3">
      <c r="A84" s="1001"/>
      <c r="B84" s="1002"/>
      <c r="C84" s="1002"/>
      <c r="D84" s="1002"/>
      <c r="E84" s="1002"/>
      <c r="F84" s="1002"/>
      <c r="G84" s="1002"/>
      <c r="H84" s="1002"/>
      <c r="I84" s="1003"/>
    </row>
    <row r="85" spans="1:22" ht="27.95" customHeight="1" x14ac:dyDescent="0.25">
      <c r="A85" s="911" t="s">
        <v>277</v>
      </c>
      <c r="B85" s="912"/>
      <c r="C85" s="912"/>
      <c r="D85" s="912"/>
      <c r="E85" s="912"/>
      <c r="F85" s="912"/>
      <c r="G85" s="912"/>
      <c r="H85" s="912"/>
      <c r="I85" s="913"/>
    </row>
    <row r="86" spans="1:22" ht="24.95" customHeight="1" thickBot="1" x14ac:dyDescent="0.3">
      <c r="A86" s="991" t="s">
        <v>275</v>
      </c>
      <c r="B86" s="992"/>
      <c r="C86" s="992"/>
      <c r="D86" s="992"/>
      <c r="E86" s="992"/>
      <c r="F86" s="992"/>
      <c r="G86" s="992"/>
      <c r="H86" s="992"/>
      <c r="I86" s="993"/>
      <c r="K86" s="16"/>
      <c r="L86" s="16"/>
      <c r="M86" s="16"/>
      <c r="N86" s="16"/>
      <c r="O86" s="16"/>
      <c r="P86" s="16"/>
      <c r="Q86" s="16"/>
    </row>
    <row r="87" spans="1:22" ht="27.75" customHeight="1" x14ac:dyDescent="0.25">
      <c r="A87" s="1078"/>
      <c r="B87" s="1079"/>
      <c r="C87" s="1079"/>
      <c r="D87" s="1079"/>
      <c r="E87" s="1079"/>
      <c r="F87" s="1079"/>
      <c r="G87" s="1080"/>
      <c r="H87" s="307" t="s">
        <v>98</v>
      </c>
      <c r="I87" s="308" t="s">
        <v>103</v>
      </c>
      <c r="K87" s="16"/>
      <c r="L87" s="16"/>
      <c r="M87" s="16"/>
      <c r="N87" s="16"/>
      <c r="O87" s="16"/>
      <c r="P87" s="16"/>
      <c r="Q87" s="16"/>
    </row>
    <row r="88" spans="1:22" ht="16.5" customHeight="1" thickBot="1" x14ac:dyDescent="0.3">
      <c r="A88" s="1081"/>
      <c r="B88" s="1082"/>
      <c r="C88" s="1082"/>
      <c r="D88" s="1082"/>
      <c r="E88" s="1082"/>
      <c r="F88" s="1082"/>
      <c r="G88" s="1083"/>
      <c r="H88" s="309">
        <f>C9</f>
        <v>40999</v>
      </c>
      <c r="I88" s="306" t="str">
        <f>'Løntabel gældende fra'!$D$1</f>
        <v>01/04/24</v>
      </c>
      <c r="K88" s="16"/>
      <c r="L88" s="16"/>
      <c r="M88" s="16"/>
      <c r="N88" s="16"/>
      <c r="O88" s="16"/>
      <c r="P88" s="16"/>
      <c r="Q88" s="16"/>
    </row>
    <row r="89" spans="1:22" customFormat="1" ht="24" customHeight="1" x14ac:dyDescent="0.25">
      <c r="A89" s="1084" t="s">
        <v>18</v>
      </c>
      <c r="B89" s="1085"/>
      <c r="C89" s="1085"/>
      <c r="D89" s="1085"/>
      <c r="E89" s="1085"/>
      <c r="F89" s="1085"/>
      <c r="G89" s="1086"/>
      <c r="H89" s="199">
        <v>6.59</v>
      </c>
      <c r="I89" s="199">
        <f>ROUND(H89+H89*'Løntabel gældende fra'!$D$7%,2)</f>
        <v>8.09</v>
      </c>
    </row>
    <row r="90" spans="1:22" customFormat="1" ht="24" customHeight="1" x14ac:dyDescent="0.25">
      <c r="A90" s="998" t="s">
        <v>17</v>
      </c>
      <c r="B90" s="999"/>
      <c r="C90" s="999"/>
      <c r="D90" s="999"/>
      <c r="E90" s="999"/>
      <c r="F90" s="999"/>
      <c r="G90" s="1000"/>
      <c r="H90" s="796">
        <v>61.22</v>
      </c>
      <c r="I90" s="796">
        <f>ROUND(H90+H90*'Løntabel gældende fra'!$D$7%,2)</f>
        <v>75.180000000000007</v>
      </c>
    </row>
    <row r="91" spans="1:22" customFormat="1" ht="24" customHeight="1" x14ac:dyDescent="0.25">
      <c r="A91" s="998" t="s">
        <v>417</v>
      </c>
      <c r="B91" s="999"/>
      <c r="C91" s="999"/>
      <c r="D91" s="999"/>
      <c r="E91" s="999"/>
      <c r="F91" s="999"/>
      <c r="G91" s="1000"/>
      <c r="H91" s="796">
        <v>163.63999999999999</v>
      </c>
      <c r="I91" s="796">
        <f>ROUND(H91+H91*'Løntabel gældende fra'!$D$7%,2)</f>
        <v>200.96</v>
      </c>
    </row>
    <row r="92" spans="1:22" customFormat="1" ht="42" customHeight="1" thickBot="1" x14ac:dyDescent="0.3">
      <c r="A92" s="995" t="s">
        <v>418</v>
      </c>
      <c r="B92" s="996"/>
      <c r="C92" s="996"/>
      <c r="D92" s="996"/>
      <c r="E92" s="996"/>
      <c r="F92" s="996"/>
      <c r="G92" s="997"/>
      <c r="H92" s="200">
        <v>372.2</v>
      </c>
      <c r="I92" s="200">
        <f>ROUND(H92+H92*'Løntabel gældende fra'!$D$7%,2)</f>
        <v>457.09</v>
      </c>
    </row>
    <row r="93" spans="1:22" s="501" customFormat="1" ht="47.1" customHeight="1" thickBot="1" x14ac:dyDescent="0.3">
      <c r="A93" s="908" t="s">
        <v>410</v>
      </c>
      <c r="B93" s="909"/>
      <c r="C93" s="909"/>
      <c r="D93" s="909"/>
      <c r="E93" s="909"/>
      <c r="F93" s="909"/>
      <c r="G93" s="909"/>
      <c r="H93" s="909"/>
      <c r="I93" s="910"/>
      <c r="J93" s="502"/>
      <c r="K93" s="502"/>
      <c r="L93" s="502"/>
      <c r="M93" s="502"/>
      <c r="N93" s="502"/>
      <c r="O93" s="502"/>
      <c r="P93" s="502"/>
      <c r="Q93" s="502"/>
      <c r="R93" s="502"/>
      <c r="S93" s="502"/>
      <c r="T93" s="502"/>
      <c r="U93" s="502"/>
      <c r="V93" s="502"/>
    </row>
    <row r="94" spans="1:22" customFormat="1" ht="33.950000000000003" customHeight="1" thickBot="1" x14ac:dyDescent="0.3">
      <c r="A94" s="908" t="s">
        <v>411</v>
      </c>
      <c r="B94" s="909"/>
      <c r="C94" s="909"/>
      <c r="D94" s="909"/>
      <c r="E94" s="909"/>
      <c r="F94" s="909"/>
      <c r="G94" s="909"/>
      <c r="H94" s="909"/>
      <c r="I94" s="910"/>
    </row>
    <row r="95" spans="1:22" customFormat="1" ht="15" customHeight="1" thickBot="1" x14ac:dyDescent="0.3">
      <c r="A95" s="69"/>
      <c r="B95" s="69"/>
      <c r="C95" s="69"/>
      <c r="D95" s="69"/>
      <c r="E95" s="69"/>
      <c r="F95" s="69"/>
      <c r="G95" s="69"/>
      <c r="H95" s="69"/>
      <c r="I95" s="69"/>
    </row>
    <row r="96" spans="1:22" customFormat="1" ht="24" customHeight="1" thickBot="1" x14ac:dyDescent="0.3">
      <c r="A96" s="924" t="s">
        <v>69</v>
      </c>
      <c r="B96" s="925"/>
      <c r="C96" s="925"/>
      <c r="D96" s="925"/>
      <c r="E96" s="925"/>
      <c r="F96" s="925"/>
      <c r="G96" s="978"/>
      <c r="H96" s="58"/>
    </row>
    <row r="97" spans="1:22" s="501" customFormat="1" ht="24" customHeight="1" thickBot="1" x14ac:dyDescent="0.3">
      <c r="A97" s="951" t="s">
        <v>70</v>
      </c>
      <c r="B97" s="952"/>
      <c r="C97" s="953"/>
      <c r="D97" s="1072">
        <v>40999</v>
      </c>
      <c r="E97" s="989"/>
      <c r="F97" s="989" t="str">
        <f>'Løntabel gældende fra'!$D$1</f>
        <v>01/04/24</v>
      </c>
      <c r="G97" s="990"/>
      <c r="H97" s="60"/>
      <c r="I97"/>
      <c r="J97" s="502"/>
      <c r="K97" s="502"/>
      <c r="L97" s="502"/>
      <c r="M97" s="502"/>
      <c r="N97" s="502"/>
      <c r="O97" s="502"/>
      <c r="P97" s="502"/>
      <c r="Q97" s="502"/>
      <c r="R97" s="502"/>
      <c r="S97" s="502"/>
      <c r="T97" s="502"/>
      <c r="U97" s="502"/>
      <c r="V97" s="502"/>
    </row>
    <row r="98" spans="1:22" customFormat="1" ht="15" customHeight="1" thickBot="1" x14ac:dyDescent="0.3">
      <c r="A98" s="954"/>
      <c r="B98" s="955"/>
      <c r="C98" s="956"/>
      <c r="D98" s="928" t="s">
        <v>278</v>
      </c>
      <c r="E98" s="929"/>
      <c r="F98" s="928" t="s">
        <v>278</v>
      </c>
      <c r="G98" s="929"/>
      <c r="H98" s="502"/>
      <c r="I98" s="502"/>
    </row>
    <row r="99" spans="1:22" customFormat="1" ht="15" customHeight="1" x14ac:dyDescent="0.25">
      <c r="A99" s="164" t="s">
        <v>71</v>
      </c>
      <c r="B99" s="165"/>
      <c r="C99" s="166"/>
      <c r="D99" s="167">
        <v>236</v>
      </c>
      <c r="E99" s="167">
        <v>334</v>
      </c>
      <c r="F99" s="503">
        <f>ROUND(D99+D99*'Løntabel gældende fra'!$D$7%,2)</f>
        <v>289.82</v>
      </c>
      <c r="G99" s="504">
        <f>ROUND(E99+E99*'Løntabel gældende fra'!$D$7%,2)</f>
        <v>410.17</v>
      </c>
      <c r="H99" s="53"/>
    </row>
    <row r="100" spans="1:22" ht="24" customHeight="1" thickBot="1" x14ac:dyDescent="0.3">
      <c r="A100" s="119" t="s">
        <v>73</v>
      </c>
      <c r="B100" s="120"/>
      <c r="C100" s="168"/>
      <c r="D100" s="169">
        <v>170</v>
      </c>
      <c r="E100" s="169">
        <v>269</v>
      </c>
      <c r="F100" s="170">
        <f>ROUND(D100+D100*'Løntabel gældende fra'!$D$7%,2)</f>
        <v>208.77</v>
      </c>
      <c r="G100" s="171">
        <f>ROUND(E100+E100*'Løntabel gældende fra'!$D$7%,2)</f>
        <v>330.35</v>
      </c>
      <c r="H100" s="53"/>
      <c r="I100"/>
    </row>
    <row r="101" spans="1:22" customFormat="1" ht="24" customHeight="1" thickBot="1" x14ac:dyDescent="0.3">
      <c r="A101" s="889" t="s">
        <v>72</v>
      </c>
      <c r="B101" s="890"/>
      <c r="C101" s="948"/>
      <c r="D101" s="1088">
        <f>D97</f>
        <v>40999</v>
      </c>
      <c r="E101" s="1089"/>
      <c r="F101" s="994" t="str">
        <f>'Løntabel gældende fra'!$D$1</f>
        <v>01/04/24</v>
      </c>
      <c r="G101" s="990"/>
      <c r="H101" s="60"/>
    </row>
    <row r="102" spans="1:22" customFormat="1" ht="15.75" thickBot="1" x14ac:dyDescent="0.3">
      <c r="A102" s="941"/>
      <c r="B102" s="942"/>
      <c r="C102" s="950"/>
      <c r="D102" s="928" t="s">
        <v>278</v>
      </c>
      <c r="E102" s="929"/>
      <c r="F102" s="928" t="s">
        <v>278</v>
      </c>
      <c r="G102" s="929"/>
      <c r="H102" s="502"/>
      <c r="I102" s="502"/>
    </row>
    <row r="103" spans="1:22" customFormat="1" x14ac:dyDescent="0.25">
      <c r="A103" s="164" t="s">
        <v>71</v>
      </c>
      <c r="B103" s="165"/>
      <c r="C103" s="166"/>
      <c r="D103" s="167">
        <v>203</v>
      </c>
      <c r="E103" s="167">
        <v>334</v>
      </c>
      <c r="F103" s="172">
        <f>ROUND(D103+D103*'Løntabel gældende fra'!$D$7%,2)</f>
        <v>249.3</v>
      </c>
      <c r="G103" s="173">
        <f>ROUND(E103+E103*'Løntabel gældende fra'!$D$7%,2)</f>
        <v>410.17</v>
      </c>
      <c r="H103" s="53"/>
    </row>
    <row r="104" spans="1:22" customFormat="1" ht="42" customHeight="1" thickBot="1" x14ac:dyDescent="0.3">
      <c r="A104" s="494" t="s">
        <v>73</v>
      </c>
      <c r="B104" s="495"/>
      <c r="C104" s="496"/>
      <c r="D104" s="174">
        <v>138</v>
      </c>
      <c r="E104" s="174">
        <v>269</v>
      </c>
      <c r="F104" s="175">
        <f>ROUND(D104+D104*'Løntabel gældende fra'!$D$7%,2)</f>
        <v>169.47</v>
      </c>
      <c r="G104" s="176">
        <f>ROUND(E104+E104*'Løntabel gældende fra'!$D$7%,2)</f>
        <v>330.35</v>
      </c>
      <c r="H104" s="53"/>
    </row>
    <row r="105" spans="1:22" customFormat="1" ht="15.75" thickBot="1" x14ac:dyDescent="0.3">
      <c r="A105" s="7"/>
      <c r="B105" s="7"/>
      <c r="C105" s="7"/>
      <c r="D105" s="7"/>
      <c r="E105" s="7"/>
      <c r="F105" s="7"/>
      <c r="G105" s="7"/>
      <c r="H105" s="7"/>
      <c r="I105" s="7"/>
    </row>
    <row r="106" spans="1:22" customFormat="1" ht="18.75" thickBot="1" x14ac:dyDescent="0.3">
      <c r="A106" s="924" t="s">
        <v>60</v>
      </c>
      <c r="B106" s="925"/>
      <c r="C106" s="925"/>
      <c r="D106" s="925"/>
      <c r="E106" s="925"/>
      <c r="F106" s="925"/>
      <c r="G106" s="978"/>
    </row>
    <row r="107" spans="1:22" ht="12" customHeight="1" thickBot="1" x14ac:dyDescent="0.3">
      <c r="A107" s="177"/>
      <c r="B107" s="178"/>
      <c r="C107" s="179"/>
      <c r="D107" s="973">
        <v>40999</v>
      </c>
      <c r="E107" s="974"/>
      <c r="F107" s="916" t="str">
        <f>'Løntabel gældende fra'!$D$1</f>
        <v>01/04/24</v>
      </c>
      <c r="G107" s="917"/>
      <c r="H107"/>
      <c r="I107"/>
    </row>
    <row r="108" spans="1:22" ht="20.25" customHeight="1" thickBot="1" x14ac:dyDescent="0.3">
      <c r="A108" s="1073" t="s">
        <v>61</v>
      </c>
      <c r="B108" s="1074"/>
      <c r="C108" s="1074"/>
      <c r="D108" s="926">
        <v>43.25</v>
      </c>
      <c r="E108" s="927"/>
      <c r="F108" s="946">
        <f>ROUND(D108+D108*'Løntabel gældende fra'!$D$7%,2)</f>
        <v>53.11</v>
      </c>
      <c r="G108" s="947"/>
      <c r="H108"/>
      <c r="I108"/>
    </row>
    <row r="109" spans="1:22" x14ac:dyDescent="0.25">
      <c r="A109" s="943" t="s">
        <v>194</v>
      </c>
      <c r="B109" s="944"/>
      <c r="C109" s="945"/>
      <c r="D109" s="926">
        <v>9.17</v>
      </c>
      <c r="E109" s="927"/>
      <c r="F109" s="946">
        <f>ROUND(D109+D109*'Løntabel gældende fra'!$D$7%,2)</f>
        <v>11.26</v>
      </c>
      <c r="G109" s="947"/>
      <c r="H109"/>
      <c r="I109"/>
    </row>
    <row r="110" spans="1:22" ht="18" customHeight="1" thickBot="1" x14ac:dyDescent="0.3">
      <c r="A110" s="65" t="s">
        <v>62</v>
      </c>
      <c r="B110" s="66"/>
      <c r="C110" s="66"/>
      <c r="D110" s="1070">
        <v>4587.3100000000004</v>
      </c>
      <c r="E110" s="1071"/>
      <c r="F110" s="914">
        <f>ROUND(D110+D110*'Løntabel gældende fra'!$D$7%,2)</f>
        <v>5633.52</v>
      </c>
      <c r="G110" s="915"/>
      <c r="H110"/>
      <c r="I110"/>
    </row>
    <row r="111" spans="1:22" ht="15.95" customHeight="1" x14ac:dyDescent="0.25">
      <c r="A111" s="73"/>
      <c r="B111" s="73"/>
      <c r="C111" s="73"/>
      <c r="D111" s="55"/>
      <c r="E111" s="93"/>
      <c r="F111" s="53"/>
      <c r="G111" s="53"/>
      <c r="H111"/>
      <c r="I111"/>
      <c r="J111" s="3"/>
      <c r="K111" s="3"/>
      <c r="L111" s="3"/>
      <c r="M111" s="4"/>
      <c r="N111" s="4"/>
      <c r="O111" s="4"/>
    </row>
    <row r="112" spans="1:22" ht="15.95" customHeight="1" thickBot="1" x14ac:dyDescent="0.3">
      <c r="A112" s="94"/>
      <c r="B112" s="7"/>
      <c r="C112" s="7"/>
      <c r="D112" s="7"/>
      <c r="E112" s="7"/>
      <c r="F112" s="53"/>
      <c r="G112" s="53"/>
      <c r="H112" s="7"/>
      <c r="I112" s="7"/>
      <c r="J112" s="3"/>
      <c r="K112" s="3"/>
      <c r="L112" s="3"/>
      <c r="M112" s="4"/>
      <c r="N112" s="4"/>
      <c r="O112" s="4"/>
    </row>
    <row r="113" spans="1:10" ht="20.25" x14ac:dyDescent="0.25">
      <c r="A113" s="975" t="s">
        <v>90</v>
      </c>
      <c r="B113" s="976"/>
      <c r="C113" s="976"/>
      <c r="D113" s="976"/>
      <c r="E113" s="976"/>
      <c r="F113" s="976"/>
      <c r="G113" s="976"/>
      <c r="H113" s="976"/>
      <c r="I113" s="977"/>
    </row>
    <row r="114" spans="1:10" ht="21" thickBot="1" x14ac:dyDescent="0.35">
      <c r="A114" s="979" t="str">
        <f>'Løntabel gældende fra'!$D$1</f>
        <v>01/04/24</v>
      </c>
      <c r="B114" s="980"/>
      <c r="C114" s="980"/>
      <c r="D114" s="980"/>
      <c r="E114" s="980"/>
      <c r="F114" s="980"/>
      <c r="G114" s="980"/>
      <c r="H114" s="980"/>
      <c r="I114" s="981"/>
    </row>
    <row r="115" spans="1:10" ht="18.75" thickBot="1" x14ac:dyDescent="0.3">
      <c r="A115" s="924" t="s">
        <v>88</v>
      </c>
      <c r="B115" s="925"/>
      <c r="C115" s="925"/>
      <c r="D115" s="925"/>
      <c r="E115" s="925"/>
      <c r="F115" s="912"/>
      <c r="G115" s="912"/>
      <c r="H115" s="912"/>
      <c r="I115" s="913"/>
    </row>
    <row r="116" spans="1:10" ht="15" customHeight="1" x14ac:dyDescent="0.25">
      <c r="A116" s="907" t="s">
        <v>0</v>
      </c>
      <c r="B116" s="889" t="s">
        <v>20</v>
      </c>
      <c r="C116" s="890"/>
      <c r="D116" s="890"/>
      <c r="E116" s="890"/>
      <c r="F116" s="922" t="s">
        <v>320</v>
      </c>
      <c r="G116" s="923"/>
      <c r="H116" s="939">
        <v>0.17299999999999999</v>
      </c>
      <c r="I116" s="940"/>
    </row>
    <row r="117" spans="1:10" ht="18" customHeight="1" thickBot="1" x14ac:dyDescent="0.3">
      <c r="A117" s="907"/>
      <c r="B117" s="941"/>
      <c r="C117" s="942"/>
      <c r="D117" s="942"/>
      <c r="E117" s="942"/>
      <c r="F117" s="970" t="s">
        <v>326</v>
      </c>
      <c r="G117" s="971"/>
      <c r="H117" s="971"/>
      <c r="I117" s="972"/>
    </row>
    <row r="118" spans="1:10" ht="18" customHeight="1" x14ac:dyDescent="0.25">
      <c r="A118" s="155">
        <v>1</v>
      </c>
      <c r="B118" s="982">
        <f>H10</f>
        <v>27763.32</v>
      </c>
      <c r="C118" s="985"/>
      <c r="D118" s="985"/>
      <c r="E118" s="983"/>
      <c r="F118" s="982">
        <f>ROUND(B118*$H$116,2)</f>
        <v>4803.05</v>
      </c>
      <c r="G118" s="985"/>
      <c r="H118" s="985"/>
      <c r="I118" s="983"/>
    </row>
    <row r="119" spans="1:10" ht="14.1" customHeight="1" x14ac:dyDescent="0.25">
      <c r="A119" s="90">
        <v>2</v>
      </c>
      <c r="B119" s="966">
        <f>H11</f>
        <v>29104.68</v>
      </c>
      <c r="C119" s="894"/>
      <c r="D119" s="894"/>
      <c r="E119" s="967"/>
      <c r="F119" s="966">
        <f>ROUND(B119*$H$116,2)</f>
        <v>5035.1099999999997</v>
      </c>
      <c r="G119" s="894"/>
      <c r="H119" s="894"/>
      <c r="I119" s="967"/>
    </row>
    <row r="120" spans="1:10" ht="15" customHeight="1" x14ac:dyDescent="0.25">
      <c r="A120" s="90">
        <v>3</v>
      </c>
      <c r="B120" s="966">
        <f>H12</f>
        <v>30191.11</v>
      </c>
      <c r="C120" s="894"/>
      <c r="D120" s="894"/>
      <c r="E120" s="967"/>
      <c r="F120" s="966">
        <f>ROUND(B120*$H$116,2)</f>
        <v>5223.0600000000004</v>
      </c>
      <c r="G120" s="894"/>
      <c r="H120" s="894"/>
      <c r="I120" s="967"/>
    </row>
    <row r="121" spans="1:10" ht="15.75" thickBot="1" x14ac:dyDescent="0.3">
      <c r="A121" s="91">
        <v>4</v>
      </c>
      <c r="B121" s="963">
        <f>H13</f>
        <v>32109.24</v>
      </c>
      <c r="C121" s="988"/>
      <c r="D121" s="988"/>
      <c r="E121" s="964"/>
      <c r="F121" s="963">
        <f>ROUND(B121*$H$116,2)</f>
        <v>5554.9</v>
      </c>
      <c r="G121" s="988"/>
      <c r="H121" s="988"/>
      <c r="I121" s="964"/>
      <c r="J121" s="39"/>
    </row>
    <row r="122" spans="1:10" ht="18.75" thickBot="1" x14ac:dyDescent="0.3">
      <c r="A122" s="911" t="s">
        <v>89</v>
      </c>
      <c r="B122" s="912"/>
      <c r="C122" s="912"/>
      <c r="D122" s="912"/>
      <c r="E122" s="912"/>
      <c r="F122" s="912"/>
      <c r="G122" s="912"/>
      <c r="H122" s="912"/>
      <c r="I122" s="913"/>
    </row>
    <row r="123" spans="1:10" x14ac:dyDescent="0.25">
      <c r="A123" s="906" t="s">
        <v>0</v>
      </c>
      <c r="B123" s="918" t="s">
        <v>136</v>
      </c>
      <c r="C123" s="889" t="s">
        <v>23</v>
      </c>
      <c r="D123" s="890"/>
      <c r="E123" s="890"/>
      <c r="F123" s="889" t="s">
        <v>24</v>
      </c>
      <c r="G123" s="890"/>
      <c r="H123" s="920" t="s">
        <v>93</v>
      </c>
      <c r="I123" s="921"/>
    </row>
    <row r="124" spans="1:10" ht="15.75" thickBot="1" x14ac:dyDescent="0.3">
      <c r="A124" s="907"/>
      <c r="B124" s="919"/>
      <c r="C124" s="904">
        <f>B52</f>
        <v>40999</v>
      </c>
      <c r="D124" s="905"/>
      <c r="E124" s="905"/>
      <c r="F124" s="904" t="str">
        <f>'Løntabel gældende fra'!$D$1</f>
        <v>01/04/24</v>
      </c>
      <c r="G124" s="905"/>
      <c r="H124" s="1027"/>
      <c r="I124" s="1029"/>
    </row>
    <row r="125" spans="1:10" ht="15.75" thickBot="1" x14ac:dyDescent="0.3">
      <c r="A125" s="907"/>
      <c r="B125" s="919"/>
      <c r="C125" s="920" t="s">
        <v>86</v>
      </c>
      <c r="D125" s="921"/>
      <c r="E125" s="564" t="s">
        <v>87</v>
      </c>
      <c r="F125" s="564" t="s">
        <v>86</v>
      </c>
      <c r="G125" s="594" t="s">
        <v>87</v>
      </c>
      <c r="H125" s="1095">
        <v>0.15</v>
      </c>
      <c r="I125" s="1096"/>
    </row>
    <row r="126" spans="1:10" x14ac:dyDescent="0.25">
      <c r="A126" s="134">
        <v>1</v>
      </c>
      <c r="B126" s="342">
        <v>21</v>
      </c>
      <c r="C126" s="887">
        <f>+'Statens skalatrin'!N66</f>
        <v>241583.32</v>
      </c>
      <c r="D126" s="888"/>
      <c r="E126" s="160">
        <f>ROUND(C126/12,2)</f>
        <v>20131.939999999999</v>
      </c>
      <c r="F126" s="209">
        <f>ROUND(C126*(1+'Løntabel gældende fra'!$D$7/100),0)</f>
        <v>296681</v>
      </c>
      <c r="G126" s="160">
        <f>ROUND(F126/12,2)</f>
        <v>24723.42</v>
      </c>
      <c r="H126" s="934">
        <f>ROUND(G126*$H$125,2)</f>
        <v>3708.51</v>
      </c>
      <c r="I126" s="935"/>
    </row>
    <row r="127" spans="1:10" x14ac:dyDescent="0.25">
      <c r="A127" s="595">
        <v>1</v>
      </c>
      <c r="B127" s="596">
        <v>23</v>
      </c>
      <c r="C127" s="895">
        <f>+'Statens skalatrin'!N72</f>
        <v>250472.55</v>
      </c>
      <c r="D127" s="896"/>
      <c r="E127" s="181">
        <f t="shared" ref="E127:E139" si="4">ROUND(C127/12,2)</f>
        <v>20872.71</v>
      </c>
      <c r="F127" s="210">
        <f>ROUND(C127*(1+'Løntabel gældende fra'!$D$7/100),0)</f>
        <v>307597</v>
      </c>
      <c r="G127" s="181">
        <f t="shared" ref="G127:G137" si="5">ROUND(F127/12,2)</f>
        <v>25633.08</v>
      </c>
      <c r="H127" s="934">
        <f t="shared" ref="H127:H139" si="6">ROUND(G127*$H$125,2)</f>
        <v>3844.96</v>
      </c>
      <c r="I127" s="935"/>
    </row>
    <row r="128" spans="1:10" x14ac:dyDescent="0.25">
      <c r="A128" s="595">
        <v>2</v>
      </c>
      <c r="B128" s="596">
        <v>25</v>
      </c>
      <c r="C128" s="895">
        <f>+'Statens skalatrin'!N78</f>
        <v>259721.7</v>
      </c>
      <c r="D128" s="896"/>
      <c r="E128" s="181">
        <f t="shared" si="4"/>
        <v>21643.48</v>
      </c>
      <c r="F128" s="210">
        <f>ROUND(C128*(1+'Løntabel gældende fra'!$D$7/100),0)</f>
        <v>318956</v>
      </c>
      <c r="G128" s="181">
        <f t="shared" si="5"/>
        <v>26579.67</v>
      </c>
      <c r="H128" s="934">
        <f t="shared" si="6"/>
        <v>3986.95</v>
      </c>
      <c r="I128" s="935"/>
    </row>
    <row r="129" spans="1:9" x14ac:dyDescent="0.25">
      <c r="A129" s="595">
        <v>2</v>
      </c>
      <c r="B129" s="596">
        <v>27</v>
      </c>
      <c r="C129" s="895">
        <f>+'Statens skalatrin'!N84</f>
        <v>269459.90000000002</v>
      </c>
      <c r="D129" s="896"/>
      <c r="E129" s="181">
        <f t="shared" si="4"/>
        <v>22454.99</v>
      </c>
      <c r="F129" s="210">
        <f>ROUND(C129*(1+'Løntabel gældende fra'!$D$7/100),0)</f>
        <v>330915</v>
      </c>
      <c r="G129" s="181">
        <f t="shared" si="5"/>
        <v>27576.25</v>
      </c>
      <c r="H129" s="934">
        <f t="shared" si="6"/>
        <v>4136.4399999999996</v>
      </c>
      <c r="I129" s="935"/>
    </row>
    <row r="130" spans="1:9" x14ac:dyDescent="0.25">
      <c r="A130" s="595">
        <v>3</v>
      </c>
      <c r="B130" s="596">
        <v>28</v>
      </c>
      <c r="C130" s="895">
        <f>+'Statens skalatrin'!N87</f>
        <v>274522.23</v>
      </c>
      <c r="D130" s="896"/>
      <c r="E130" s="181">
        <f t="shared" si="4"/>
        <v>22876.85</v>
      </c>
      <c r="F130" s="210">
        <f>ROUND(C130*(1+'Løntabel gældende fra'!$D$7/100),0)</f>
        <v>337132</v>
      </c>
      <c r="G130" s="181">
        <f t="shared" si="5"/>
        <v>28094.33</v>
      </c>
      <c r="H130" s="934">
        <f t="shared" si="6"/>
        <v>4214.1499999999996</v>
      </c>
      <c r="I130" s="935"/>
    </row>
    <row r="131" spans="1:9" x14ac:dyDescent="0.25">
      <c r="A131" s="595">
        <v>3</v>
      </c>
      <c r="B131" s="596">
        <v>29</v>
      </c>
      <c r="C131" s="895">
        <f>+'Statens skalatrin'!N90</f>
        <v>279714.99</v>
      </c>
      <c r="D131" s="896"/>
      <c r="E131" s="181">
        <f t="shared" si="4"/>
        <v>23309.58</v>
      </c>
      <c r="F131" s="210">
        <f>ROUND(C131*(1+'Løntabel gældende fra'!$D$7/100),0)</f>
        <v>343509</v>
      </c>
      <c r="G131" s="181">
        <f t="shared" si="5"/>
        <v>28625.75</v>
      </c>
      <c r="H131" s="934">
        <f t="shared" si="6"/>
        <v>4293.8599999999997</v>
      </c>
      <c r="I131" s="935"/>
    </row>
    <row r="132" spans="1:9" x14ac:dyDescent="0.25">
      <c r="A132" s="595">
        <v>3</v>
      </c>
      <c r="B132" s="596">
        <v>30</v>
      </c>
      <c r="C132" s="895">
        <f>+'Statens skalatrin'!N93</f>
        <v>285044.74</v>
      </c>
      <c r="D132" s="896"/>
      <c r="E132" s="181">
        <f t="shared" si="4"/>
        <v>23753.73</v>
      </c>
      <c r="F132" s="210">
        <f>ROUND(C132*(1+'Løntabel gældende fra'!$D$7/100),0)</f>
        <v>350054</v>
      </c>
      <c r="G132" s="181">
        <f t="shared" si="5"/>
        <v>29171.17</v>
      </c>
      <c r="H132" s="934">
        <f t="shared" si="6"/>
        <v>4375.68</v>
      </c>
      <c r="I132" s="935"/>
    </row>
    <row r="133" spans="1:9" x14ac:dyDescent="0.25">
      <c r="A133" s="595">
        <v>3</v>
      </c>
      <c r="B133" s="596">
        <v>31</v>
      </c>
      <c r="C133" s="895">
        <f>+'Statens skalatrin'!N96</f>
        <v>290512.64000000001</v>
      </c>
      <c r="D133" s="896"/>
      <c r="E133" s="181">
        <f t="shared" si="4"/>
        <v>24209.39</v>
      </c>
      <c r="F133" s="210">
        <f>ROUND(C133*(1+'Løntabel gældende fra'!$D$7/100),0)</f>
        <v>356769</v>
      </c>
      <c r="G133" s="181">
        <f t="shared" si="5"/>
        <v>29730.75</v>
      </c>
      <c r="H133" s="934">
        <f t="shared" si="6"/>
        <v>4459.6099999999997</v>
      </c>
      <c r="I133" s="935"/>
    </row>
    <row r="134" spans="1:9" ht="15" customHeight="1" x14ac:dyDescent="0.25">
      <c r="A134" s="595">
        <v>28</v>
      </c>
      <c r="B134" s="596">
        <v>28</v>
      </c>
      <c r="C134" s="895">
        <f>+C130</f>
        <v>274522.23</v>
      </c>
      <c r="D134" s="896"/>
      <c r="E134" s="181">
        <f t="shared" si="4"/>
        <v>22876.85</v>
      </c>
      <c r="F134" s="210">
        <f>ROUND(C134*(1+'Løntabel gældende fra'!$D$7/100),0)</f>
        <v>337132</v>
      </c>
      <c r="G134" s="181">
        <f t="shared" si="5"/>
        <v>28094.33</v>
      </c>
      <c r="H134" s="934">
        <f t="shared" si="6"/>
        <v>4214.1499999999996</v>
      </c>
      <c r="I134" s="935"/>
    </row>
    <row r="135" spans="1:9" ht="15" customHeight="1" x14ac:dyDescent="0.25">
      <c r="A135" s="595">
        <v>29</v>
      </c>
      <c r="B135" s="596">
        <v>29</v>
      </c>
      <c r="C135" s="895">
        <f>+C131</f>
        <v>279714.99</v>
      </c>
      <c r="D135" s="896"/>
      <c r="E135" s="181">
        <f t="shared" si="4"/>
        <v>23309.58</v>
      </c>
      <c r="F135" s="210">
        <f>ROUND(C135*(1+'Løntabel gældende fra'!$D$7/100),0)</f>
        <v>343509</v>
      </c>
      <c r="G135" s="181">
        <f t="shared" si="5"/>
        <v>28625.75</v>
      </c>
      <c r="H135" s="934">
        <f t="shared" si="6"/>
        <v>4293.8599999999997</v>
      </c>
      <c r="I135" s="935"/>
    </row>
    <row r="136" spans="1:9" ht="17.25" customHeight="1" x14ac:dyDescent="0.25">
      <c r="A136" s="595">
        <v>30</v>
      </c>
      <c r="B136" s="596">
        <v>30</v>
      </c>
      <c r="C136" s="895">
        <f>+C132</f>
        <v>285044.74</v>
      </c>
      <c r="D136" s="896"/>
      <c r="E136" s="181">
        <f t="shared" si="4"/>
        <v>23753.73</v>
      </c>
      <c r="F136" s="210">
        <f>ROUND(C136*(1+'Løntabel gældende fra'!$D$7/100),0)</f>
        <v>350054</v>
      </c>
      <c r="G136" s="181">
        <f t="shared" si="5"/>
        <v>29171.17</v>
      </c>
      <c r="H136" s="934">
        <f t="shared" si="6"/>
        <v>4375.68</v>
      </c>
      <c r="I136" s="935"/>
    </row>
    <row r="137" spans="1:9" ht="14.25" customHeight="1" x14ac:dyDescent="0.25">
      <c r="A137" s="595">
        <v>31</v>
      </c>
      <c r="B137" s="596">
        <v>31</v>
      </c>
      <c r="C137" s="895">
        <f>+C133</f>
        <v>290512.64000000001</v>
      </c>
      <c r="D137" s="896"/>
      <c r="E137" s="181">
        <f t="shared" si="4"/>
        <v>24209.39</v>
      </c>
      <c r="F137" s="210">
        <f>ROUND(C137*(1+'Løntabel gældende fra'!$D$7/100),0)</f>
        <v>356769</v>
      </c>
      <c r="G137" s="181">
        <f t="shared" si="5"/>
        <v>29730.75</v>
      </c>
      <c r="H137" s="934">
        <f t="shared" si="6"/>
        <v>4459.6099999999997</v>
      </c>
      <c r="I137" s="935"/>
    </row>
    <row r="138" spans="1:9" x14ac:dyDescent="0.25">
      <c r="A138" s="595">
        <v>32</v>
      </c>
      <c r="B138" s="596">
        <v>32</v>
      </c>
      <c r="C138" s="895">
        <f>+'Statens skalatrin'!N99</f>
        <v>296125.21000000002</v>
      </c>
      <c r="D138" s="896"/>
      <c r="E138" s="181">
        <f t="shared" si="4"/>
        <v>24677.1</v>
      </c>
      <c r="F138" s="210">
        <f>ROUND(C138*(1+'Løntabel gældende fra'!$D$7/100),0)</f>
        <v>363662</v>
      </c>
      <c r="G138" s="181">
        <f>ROUND(F138/12,2)</f>
        <v>30305.17</v>
      </c>
      <c r="H138" s="934">
        <f t="shared" si="6"/>
        <v>4545.78</v>
      </c>
      <c r="I138" s="935"/>
    </row>
    <row r="139" spans="1:9" ht="15.75" thickBot="1" x14ac:dyDescent="0.3">
      <c r="A139" s="140">
        <v>33</v>
      </c>
      <c r="B139" s="343">
        <v>33</v>
      </c>
      <c r="C139" s="986">
        <f>+'Statens skalatrin'!N102</f>
        <v>301881.8</v>
      </c>
      <c r="D139" s="987"/>
      <c r="E139" s="161">
        <f t="shared" si="4"/>
        <v>25156.82</v>
      </c>
      <c r="F139" s="211">
        <f>ROUND(C139*(1+'Løntabel gældende fra'!$D$7/100),0)</f>
        <v>370731</v>
      </c>
      <c r="G139" s="161">
        <f>ROUND(F139/12,2)</f>
        <v>30894.25</v>
      </c>
      <c r="H139" s="934">
        <f t="shared" si="6"/>
        <v>4634.1400000000003</v>
      </c>
      <c r="I139" s="935"/>
    </row>
    <row r="140" spans="1:9" ht="20.25" x14ac:dyDescent="0.25">
      <c r="A140" s="975" t="s">
        <v>91</v>
      </c>
      <c r="B140" s="976"/>
      <c r="C140" s="976"/>
      <c r="D140" s="976"/>
      <c r="E140" s="976"/>
      <c r="F140" s="976"/>
      <c r="G140" s="976"/>
      <c r="H140" s="976"/>
      <c r="I140" s="977"/>
    </row>
    <row r="141" spans="1:9" ht="20.25" x14ac:dyDescent="0.25">
      <c r="A141" s="1097" t="str">
        <f>'Løntabel gældende fra'!$D$1</f>
        <v>01/04/24</v>
      </c>
      <c r="B141" s="1098"/>
      <c r="C141" s="1098"/>
      <c r="D141" s="1098"/>
      <c r="E141" s="1098"/>
      <c r="F141" s="1098"/>
      <c r="G141" s="1098"/>
      <c r="H141" s="1098"/>
      <c r="I141" s="1099"/>
    </row>
    <row r="142" spans="1:9" ht="18.75" thickBot="1" x14ac:dyDescent="0.3">
      <c r="A142" s="930" t="s">
        <v>88</v>
      </c>
      <c r="B142" s="931"/>
      <c r="C142" s="931"/>
      <c r="D142" s="931"/>
      <c r="E142" s="931"/>
      <c r="F142" s="932"/>
      <c r="G142" s="932"/>
      <c r="H142" s="932"/>
      <c r="I142" s="933"/>
    </row>
    <row r="143" spans="1:9" x14ac:dyDescent="0.25">
      <c r="A143" s="907" t="s">
        <v>0</v>
      </c>
      <c r="B143" s="889" t="s">
        <v>20</v>
      </c>
      <c r="C143" s="890"/>
      <c r="D143" s="890"/>
      <c r="E143" s="890"/>
      <c r="F143" s="1091" t="s">
        <v>93</v>
      </c>
      <c r="G143" s="1092"/>
      <c r="H143" s="617">
        <v>0.17299999999999999</v>
      </c>
      <c r="I143" s="618"/>
    </row>
    <row r="144" spans="1:9" ht="15.75" thickBot="1" x14ac:dyDescent="0.3">
      <c r="A144" s="937"/>
      <c r="B144" s="941"/>
      <c r="C144" s="942"/>
      <c r="D144" s="942"/>
      <c r="E144" s="942"/>
      <c r="F144" s="941" t="s">
        <v>326</v>
      </c>
      <c r="G144" s="942"/>
      <c r="H144" s="942"/>
      <c r="I144" s="950"/>
    </row>
    <row r="145" spans="1:10" x14ac:dyDescent="0.25">
      <c r="A145" s="155">
        <v>1</v>
      </c>
      <c r="B145" s="982">
        <f>E10</f>
        <v>28623.68</v>
      </c>
      <c r="C145" s="985"/>
      <c r="D145" s="985"/>
      <c r="E145" s="985"/>
      <c r="F145" s="982">
        <f>ROUND(B145*$H$143,2)</f>
        <v>4951.8999999999996</v>
      </c>
      <c r="G145" s="985"/>
      <c r="H145" s="985"/>
      <c r="I145" s="983"/>
    </row>
    <row r="146" spans="1:10" ht="15" customHeight="1" x14ac:dyDescent="0.25">
      <c r="A146" s="90">
        <v>2</v>
      </c>
      <c r="B146" s="966">
        <f>E11</f>
        <v>30501.5</v>
      </c>
      <c r="C146" s="894"/>
      <c r="D146" s="894"/>
      <c r="E146" s="894"/>
      <c r="F146" s="966">
        <f t="shared" ref="F146:F148" si="7">ROUND(B146*$H$143,2)</f>
        <v>5276.76</v>
      </c>
      <c r="G146" s="894"/>
      <c r="H146" s="894"/>
      <c r="I146" s="967"/>
    </row>
    <row r="147" spans="1:10" x14ac:dyDescent="0.25">
      <c r="A147" s="90">
        <v>3</v>
      </c>
      <c r="B147" s="966">
        <f>E12</f>
        <v>33331.68</v>
      </c>
      <c r="C147" s="894"/>
      <c r="D147" s="894"/>
      <c r="E147" s="894"/>
      <c r="F147" s="966">
        <f t="shared" si="7"/>
        <v>5766.38</v>
      </c>
      <c r="G147" s="894"/>
      <c r="H147" s="894"/>
      <c r="I147" s="967"/>
    </row>
    <row r="148" spans="1:10" ht="18.95" customHeight="1" thickBot="1" x14ac:dyDescent="0.3">
      <c r="A148" s="91">
        <v>4</v>
      </c>
      <c r="B148" s="963">
        <f>E13</f>
        <v>35960.67</v>
      </c>
      <c r="C148" s="988"/>
      <c r="D148" s="988"/>
      <c r="E148" s="988"/>
      <c r="F148" s="963">
        <f t="shared" si="7"/>
        <v>6221.2</v>
      </c>
      <c r="G148" s="988"/>
      <c r="H148" s="988"/>
      <c r="I148" s="964"/>
    </row>
    <row r="149" spans="1:10" ht="14.1" customHeight="1" thickBot="1" x14ac:dyDescent="0.3">
      <c r="A149" s="924" t="s">
        <v>89</v>
      </c>
      <c r="B149" s="925"/>
      <c r="C149" s="925"/>
      <c r="D149" s="925"/>
      <c r="E149" s="925"/>
      <c r="F149" s="925"/>
      <c r="G149" s="925"/>
      <c r="H149" s="925"/>
      <c r="I149" s="385"/>
      <c r="J149" s="45"/>
    </row>
    <row r="150" spans="1:10" x14ac:dyDescent="0.25">
      <c r="A150" s="919" t="s">
        <v>104</v>
      </c>
      <c r="B150" s="919" t="s">
        <v>136</v>
      </c>
      <c r="C150" s="1062" t="s">
        <v>23</v>
      </c>
      <c r="D150" s="1062"/>
      <c r="E150" s="1062"/>
      <c r="F150" s="1087" t="s">
        <v>24</v>
      </c>
      <c r="G150" s="1062"/>
      <c r="H150" s="920" t="s">
        <v>93</v>
      </c>
      <c r="I150" s="921"/>
    </row>
    <row r="151" spans="1:10" ht="15.75" thickBot="1" x14ac:dyDescent="0.3">
      <c r="A151" s="919"/>
      <c r="B151" s="919"/>
      <c r="C151" s="905">
        <v>40999</v>
      </c>
      <c r="D151" s="905"/>
      <c r="E151" s="905"/>
      <c r="F151" s="904" t="str">
        <f>'Løntabel gældende fra'!$D$1</f>
        <v>01/04/24</v>
      </c>
      <c r="G151" s="905"/>
      <c r="H151" s="1027"/>
      <c r="I151" s="1029"/>
    </row>
    <row r="152" spans="1:10" ht="15.75" thickBot="1" x14ac:dyDescent="0.3">
      <c r="A152" s="936"/>
      <c r="B152" s="919"/>
      <c r="C152" s="938" t="s">
        <v>86</v>
      </c>
      <c r="D152" s="921"/>
      <c r="E152" s="564" t="s">
        <v>87</v>
      </c>
      <c r="F152" s="311" t="s">
        <v>86</v>
      </c>
      <c r="G152" s="594" t="s">
        <v>87</v>
      </c>
      <c r="H152" s="1093">
        <v>0.15</v>
      </c>
      <c r="I152" s="1094"/>
    </row>
    <row r="153" spans="1:10" x14ac:dyDescent="0.25">
      <c r="A153" s="134">
        <v>1</v>
      </c>
      <c r="B153" s="342">
        <v>24</v>
      </c>
      <c r="C153" s="887">
        <f>+'Statens skalatrin'!N75</f>
        <v>255037.97</v>
      </c>
      <c r="D153" s="888"/>
      <c r="E153" s="160">
        <f>ROUND(C153/12,2)</f>
        <v>21253.16</v>
      </c>
      <c r="F153" s="209">
        <f>ROUND(C153*(1+'Løntabel gældende fra'!$D$7/100),0)</f>
        <v>313204</v>
      </c>
      <c r="G153" s="160">
        <f>ROUND(F153/12,2)</f>
        <v>26100.33</v>
      </c>
      <c r="H153" s="934">
        <f>ROUND(G153*$H$152,2)</f>
        <v>3915.05</v>
      </c>
      <c r="I153" s="935"/>
    </row>
    <row r="154" spans="1:10" x14ac:dyDescent="0.25">
      <c r="A154" s="595">
        <v>1</v>
      </c>
      <c r="B154" s="596">
        <v>25</v>
      </c>
      <c r="C154" s="895">
        <f>+'Statens skalatrin'!N78</f>
        <v>259721.7</v>
      </c>
      <c r="D154" s="896"/>
      <c r="E154" s="181">
        <f t="shared" ref="E154:E167" si="8">ROUND(C154/12,2)</f>
        <v>21643.48</v>
      </c>
      <c r="F154" s="210">
        <f>ROUND(C154*(1+'Løntabel gældende fra'!$D$7/100),0)</f>
        <v>318956</v>
      </c>
      <c r="G154" s="181">
        <f t="shared" ref="G154:G167" si="9">ROUND(F154/12,2)</f>
        <v>26579.67</v>
      </c>
      <c r="H154" s="934">
        <f t="shared" ref="H154:H167" si="10">ROUND(G154*$H$152,2)</f>
        <v>3986.95</v>
      </c>
      <c r="I154" s="935"/>
    </row>
    <row r="155" spans="1:10" x14ac:dyDescent="0.25">
      <c r="A155" s="595">
        <v>2</v>
      </c>
      <c r="B155" s="596">
        <v>27</v>
      </c>
      <c r="C155" s="895">
        <f>+'Statens skalatrin'!N84</f>
        <v>269459.90000000002</v>
      </c>
      <c r="D155" s="896"/>
      <c r="E155" s="181">
        <f t="shared" si="8"/>
        <v>22454.99</v>
      </c>
      <c r="F155" s="210">
        <f>ROUND(C155*(1+'Løntabel gældende fra'!$D$7/100),0)</f>
        <v>330915</v>
      </c>
      <c r="G155" s="181">
        <f t="shared" si="9"/>
        <v>27576.25</v>
      </c>
      <c r="H155" s="934">
        <f t="shared" si="10"/>
        <v>4136.4399999999996</v>
      </c>
      <c r="I155" s="935"/>
    </row>
    <row r="156" spans="1:10" x14ac:dyDescent="0.25">
      <c r="A156" s="595">
        <v>2</v>
      </c>
      <c r="B156" s="596">
        <v>29</v>
      </c>
      <c r="C156" s="895">
        <f>+'Statens skalatrin'!N90</f>
        <v>279714.99</v>
      </c>
      <c r="D156" s="896"/>
      <c r="E156" s="181">
        <f t="shared" si="8"/>
        <v>23309.58</v>
      </c>
      <c r="F156" s="210">
        <f>ROUND(C156*(1+'Løntabel gældende fra'!$D$7/100),0)</f>
        <v>343509</v>
      </c>
      <c r="G156" s="181">
        <f t="shared" si="9"/>
        <v>28625.75</v>
      </c>
      <c r="H156" s="934">
        <f t="shared" si="10"/>
        <v>4293.8599999999997</v>
      </c>
      <c r="I156" s="935"/>
    </row>
    <row r="157" spans="1:10" x14ac:dyDescent="0.25">
      <c r="A157" s="595">
        <v>3</v>
      </c>
      <c r="B157" s="596">
        <v>31</v>
      </c>
      <c r="C157" s="895">
        <f>+'Statens skalatrin'!N96</f>
        <v>290512.64000000001</v>
      </c>
      <c r="D157" s="896"/>
      <c r="E157" s="181">
        <f t="shared" si="8"/>
        <v>24209.39</v>
      </c>
      <c r="F157" s="210">
        <f>ROUND(C157*(1+'Løntabel gældende fra'!$D$7/100),0)</f>
        <v>356769</v>
      </c>
      <c r="G157" s="181">
        <f t="shared" si="9"/>
        <v>29730.75</v>
      </c>
      <c r="H157" s="934">
        <f t="shared" si="10"/>
        <v>4459.6099999999997</v>
      </c>
      <c r="I157" s="935"/>
    </row>
    <row r="158" spans="1:10" x14ac:dyDescent="0.25">
      <c r="A158" s="595">
        <v>3</v>
      </c>
      <c r="B158" s="596">
        <v>33</v>
      </c>
      <c r="C158" s="895">
        <f>+'Statens skalatrin'!N102</f>
        <v>301881.8</v>
      </c>
      <c r="D158" s="896"/>
      <c r="E158" s="181">
        <f t="shared" si="8"/>
        <v>25156.82</v>
      </c>
      <c r="F158" s="210">
        <f>ROUND(C158*(1+'Løntabel gældende fra'!$D$7/100),0)</f>
        <v>370731</v>
      </c>
      <c r="G158" s="181">
        <f t="shared" si="9"/>
        <v>30894.25</v>
      </c>
      <c r="H158" s="934">
        <f t="shared" si="10"/>
        <v>4634.1400000000003</v>
      </c>
      <c r="I158" s="935"/>
    </row>
    <row r="159" spans="1:10" x14ac:dyDescent="0.25">
      <c r="A159" s="595">
        <v>3</v>
      </c>
      <c r="B159" s="596">
        <v>35</v>
      </c>
      <c r="C159" s="895">
        <f>+'Statens skalatrin'!N108</f>
        <v>313854.56</v>
      </c>
      <c r="D159" s="896"/>
      <c r="E159" s="181">
        <f t="shared" si="8"/>
        <v>26154.55</v>
      </c>
      <c r="F159" s="210">
        <f>ROUND(C159*(1+'Løntabel gældende fra'!$D$7/100),0)</f>
        <v>385434</v>
      </c>
      <c r="G159" s="181">
        <f t="shared" si="9"/>
        <v>32119.5</v>
      </c>
      <c r="H159" s="934">
        <f t="shared" si="10"/>
        <v>4817.93</v>
      </c>
      <c r="I159" s="935"/>
    </row>
    <row r="160" spans="1:10" x14ac:dyDescent="0.25">
      <c r="A160" s="595">
        <v>3</v>
      </c>
      <c r="B160" s="596">
        <v>37</v>
      </c>
      <c r="C160" s="895">
        <f>+'Statens skalatrin'!N114</f>
        <v>326457.34000000003</v>
      </c>
      <c r="D160" s="896"/>
      <c r="E160" s="181">
        <f t="shared" si="8"/>
        <v>27204.78</v>
      </c>
      <c r="F160" s="210">
        <f>ROUND(C160*(1+'Løntabel gældende fra'!$D$7/100),0)</f>
        <v>400911</v>
      </c>
      <c r="G160" s="181">
        <f t="shared" si="9"/>
        <v>33409.25</v>
      </c>
      <c r="H160" s="934">
        <f t="shared" si="10"/>
        <v>5011.3900000000003</v>
      </c>
      <c r="I160" s="935"/>
    </row>
    <row r="161" spans="1:9" x14ac:dyDescent="0.25">
      <c r="A161" s="595">
        <v>3</v>
      </c>
      <c r="B161" s="596">
        <v>40</v>
      </c>
      <c r="C161" s="895">
        <f>+'Statens skalatrin'!N123</f>
        <v>347027.46</v>
      </c>
      <c r="D161" s="896"/>
      <c r="E161" s="181">
        <f t="shared" si="8"/>
        <v>28918.959999999999</v>
      </c>
      <c r="F161" s="210">
        <f>ROUND(C161*(1+'Løntabel gældende fra'!$D$7/100),0)</f>
        <v>426173</v>
      </c>
      <c r="G161" s="181">
        <f t="shared" si="9"/>
        <v>35514.42</v>
      </c>
      <c r="H161" s="934">
        <f t="shared" si="10"/>
        <v>5327.16</v>
      </c>
      <c r="I161" s="935"/>
    </row>
    <row r="162" spans="1:9" x14ac:dyDescent="0.25">
      <c r="A162" s="595">
        <v>35</v>
      </c>
      <c r="B162" s="596">
        <v>35</v>
      </c>
      <c r="C162" s="895">
        <f>+C159</f>
        <v>313854.56</v>
      </c>
      <c r="D162" s="896"/>
      <c r="E162" s="181">
        <f t="shared" si="8"/>
        <v>26154.55</v>
      </c>
      <c r="F162" s="210">
        <f>ROUND(C162*(1+'Løntabel gældende fra'!$D$7/100),0)</f>
        <v>385434</v>
      </c>
      <c r="G162" s="181">
        <f t="shared" si="9"/>
        <v>32119.5</v>
      </c>
      <c r="H162" s="934">
        <f t="shared" si="10"/>
        <v>4817.93</v>
      </c>
      <c r="I162" s="935"/>
    </row>
    <row r="163" spans="1:9" x14ac:dyDescent="0.25">
      <c r="A163" s="595">
        <v>36</v>
      </c>
      <c r="B163" s="596">
        <v>36</v>
      </c>
      <c r="C163" s="895">
        <f>+'Statens skalatrin'!N111</f>
        <v>320074.68</v>
      </c>
      <c r="D163" s="896"/>
      <c r="E163" s="181">
        <f t="shared" si="8"/>
        <v>26672.89</v>
      </c>
      <c r="F163" s="210">
        <f>ROUND(C163*(1+'Løntabel gældende fra'!$D$7/100),0)</f>
        <v>393073</v>
      </c>
      <c r="G163" s="181">
        <f t="shared" si="9"/>
        <v>32756.080000000002</v>
      </c>
      <c r="H163" s="934">
        <f t="shared" si="10"/>
        <v>4913.41</v>
      </c>
      <c r="I163" s="935"/>
    </row>
    <row r="164" spans="1:9" ht="15" hidden="1" customHeight="1" x14ac:dyDescent="0.25">
      <c r="A164" s="595">
        <v>38</v>
      </c>
      <c r="B164" s="596">
        <v>38</v>
      </c>
      <c r="C164" s="895">
        <f>+'Statens skalatrin'!N117</f>
        <v>333128.88</v>
      </c>
      <c r="D164" s="896"/>
      <c r="E164" s="181">
        <f t="shared" si="8"/>
        <v>27760.74</v>
      </c>
      <c r="F164" s="210">
        <f>ROUND(C164*(1+'Løntabel gældende fra'!$D$7/100),0)</f>
        <v>409105</v>
      </c>
      <c r="G164" s="181">
        <f t="shared" si="9"/>
        <v>34092.080000000002</v>
      </c>
      <c r="H164" s="934">
        <f t="shared" si="10"/>
        <v>5113.8100000000004</v>
      </c>
      <c r="I164" s="935"/>
    </row>
    <row r="165" spans="1:9" s="70" customFormat="1" ht="15.75" customHeight="1" x14ac:dyDescent="0.25">
      <c r="A165" s="595">
        <v>40</v>
      </c>
      <c r="B165" s="596">
        <v>40</v>
      </c>
      <c r="C165" s="895">
        <f>+'Statens skalatrin'!N123</f>
        <v>347027.46</v>
      </c>
      <c r="D165" s="896"/>
      <c r="E165" s="181">
        <f t="shared" si="8"/>
        <v>28918.959999999999</v>
      </c>
      <c r="F165" s="210">
        <f>ROUND(C165*(1+'Løntabel gældende fra'!$D$7/100),0)</f>
        <v>426173</v>
      </c>
      <c r="G165" s="181">
        <f t="shared" si="9"/>
        <v>35514.42</v>
      </c>
      <c r="H165" s="934">
        <f t="shared" si="10"/>
        <v>5327.16</v>
      </c>
      <c r="I165" s="935"/>
    </row>
    <row r="166" spans="1:9" s="70" customFormat="1" x14ac:dyDescent="0.25">
      <c r="A166" s="595">
        <v>41</v>
      </c>
      <c r="B166" s="596">
        <v>41</v>
      </c>
      <c r="C166" s="895">
        <f>+'Statens skalatrin'!N126</f>
        <v>354249.23</v>
      </c>
      <c r="D166" s="896"/>
      <c r="E166" s="181">
        <f t="shared" si="8"/>
        <v>29520.77</v>
      </c>
      <c r="F166" s="210">
        <f>ROUND(C166*(1+'Løntabel gældende fra'!$D$7/100),0)</f>
        <v>435042</v>
      </c>
      <c r="G166" s="181">
        <f t="shared" si="9"/>
        <v>36253.5</v>
      </c>
      <c r="H166" s="934">
        <f t="shared" si="10"/>
        <v>5438.03</v>
      </c>
      <c r="I166" s="935"/>
    </row>
    <row r="167" spans="1:9" s="70" customFormat="1" ht="15.75" thickBot="1" x14ac:dyDescent="0.3">
      <c r="A167" s="140">
        <v>42</v>
      </c>
      <c r="B167" s="343">
        <v>42</v>
      </c>
      <c r="C167" s="986">
        <f>+'Statens skalatrin'!N129</f>
        <v>361659.2</v>
      </c>
      <c r="D167" s="987"/>
      <c r="E167" s="161">
        <f t="shared" si="8"/>
        <v>30138.27</v>
      </c>
      <c r="F167" s="211">
        <f>ROUND(C167*(1+'Løntabel gældende fra'!$D$7/100),0)</f>
        <v>444142</v>
      </c>
      <c r="G167" s="161">
        <f t="shared" si="9"/>
        <v>37011.83</v>
      </c>
      <c r="H167" s="934">
        <f t="shared" si="10"/>
        <v>5551.77</v>
      </c>
      <c r="I167" s="935"/>
    </row>
    <row r="168" spans="1:9" s="70" customFormat="1" ht="63.95" customHeight="1" thickBot="1" x14ac:dyDescent="0.3">
      <c r="A168" s="1090" t="s">
        <v>338</v>
      </c>
      <c r="B168" s="1090"/>
      <c r="C168" s="1090"/>
      <c r="D168" s="1090"/>
      <c r="E168" s="1090"/>
      <c r="F168" s="1090"/>
      <c r="G168" s="1090"/>
      <c r="H168" s="1090"/>
      <c r="I168" s="1090"/>
    </row>
    <row r="169" spans="1:9" x14ac:dyDescent="0.25">
      <c r="A169" s="73"/>
      <c r="B169" s="73"/>
      <c r="C169" s="73"/>
      <c r="D169" s="74"/>
      <c r="E169" s="72"/>
      <c r="F169" s="70"/>
      <c r="G169" s="70"/>
      <c r="H169" s="70"/>
      <c r="I169" s="70"/>
    </row>
    <row r="170" spans="1:9" ht="15.75" thickBot="1" x14ac:dyDescent="0.3">
      <c r="A170" s="73"/>
      <c r="B170" s="73"/>
      <c r="C170" s="73"/>
      <c r="D170" s="75"/>
      <c r="E170" s="76"/>
      <c r="F170" s="70"/>
      <c r="G170" s="70"/>
      <c r="H170" s="70"/>
      <c r="I170" s="70"/>
    </row>
    <row r="171" spans="1:9" x14ac:dyDescent="0.25">
      <c r="A171" s="7"/>
      <c r="B171" s="7"/>
      <c r="C171" s="7"/>
      <c r="D171" s="7"/>
      <c r="E171" s="7"/>
      <c r="F171" s="7"/>
      <c r="G171" s="7"/>
      <c r="H171" s="7"/>
      <c r="I171" s="7"/>
    </row>
    <row r="172" spans="1:9" x14ac:dyDescent="0.25">
      <c r="A172" s="7"/>
      <c r="B172" s="7"/>
      <c r="C172" s="7"/>
      <c r="D172" s="7"/>
      <c r="E172" s="7"/>
      <c r="F172" s="7"/>
      <c r="G172" s="7"/>
      <c r="H172" s="7"/>
      <c r="I172" s="7"/>
    </row>
    <row r="173" spans="1:9" x14ac:dyDescent="0.25">
      <c r="A173" s="7"/>
      <c r="B173" s="7"/>
      <c r="C173" s="7"/>
      <c r="D173" s="7"/>
      <c r="E173" s="7"/>
      <c r="F173" s="7"/>
      <c r="G173" s="7"/>
      <c r="H173" s="7"/>
      <c r="I173" s="7"/>
    </row>
    <row r="174" spans="1:9" x14ac:dyDescent="0.25">
      <c r="A174" s="7"/>
      <c r="B174" s="7"/>
      <c r="C174" s="7"/>
      <c r="D174" s="7"/>
      <c r="E174" s="7"/>
      <c r="F174" s="7"/>
      <c r="G174" s="7"/>
      <c r="H174" s="7"/>
      <c r="I174" s="7"/>
    </row>
    <row r="175" spans="1:9" x14ac:dyDescent="0.25">
      <c r="A175" s="7"/>
      <c r="B175" s="7"/>
      <c r="C175" s="7"/>
      <c r="D175" s="7"/>
      <c r="E175" s="7"/>
      <c r="F175" s="7"/>
      <c r="G175" s="7"/>
      <c r="H175" s="7"/>
      <c r="I175" s="7"/>
    </row>
    <row r="176" spans="1:9" x14ac:dyDescent="0.25">
      <c r="A176" s="7"/>
      <c r="B176" s="7"/>
      <c r="C176" s="7"/>
      <c r="D176" s="7"/>
      <c r="E176" s="7"/>
      <c r="F176" s="7"/>
      <c r="G176" s="7"/>
      <c r="H176" s="7"/>
      <c r="I176" s="7"/>
    </row>
    <row r="177" spans="1:9" x14ac:dyDescent="0.25">
      <c r="A177" s="7"/>
      <c r="B177" s="7"/>
      <c r="C177" s="7"/>
      <c r="D177" s="7"/>
      <c r="E177" s="7"/>
      <c r="F177" s="7"/>
      <c r="G177" s="7"/>
      <c r="H177" s="7"/>
      <c r="I177" s="7"/>
    </row>
    <row r="178" spans="1:9" x14ac:dyDescent="0.25">
      <c r="A178" s="7"/>
      <c r="B178" s="7"/>
      <c r="C178" s="7"/>
      <c r="D178" s="7"/>
      <c r="E178" s="7"/>
      <c r="F178" s="7"/>
      <c r="G178" s="7"/>
      <c r="H178" s="7"/>
      <c r="I178" s="7"/>
    </row>
    <row r="179" spans="1:9" x14ac:dyDescent="0.25">
      <c r="A179" s="7"/>
      <c r="B179" s="7"/>
      <c r="C179" s="7"/>
      <c r="D179" s="7"/>
      <c r="E179" s="7"/>
      <c r="F179" s="7"/>
      <c r="G179" s="7"/>
      <c r="H179" s="7"/>
      <c r="I179" s="7"/>
    </row>
    <row r="180" spans="1:9" x14ac:dyDescent="0.25">
      <c r="A180" s="7"/>
      <c r="B180" s="7"/>
      <c r="C180" s="7"/>
      <c r="D180" s="7"/>
      <c r="E180" s="7"/>
      <c r="F180" s="7"/>
      <c r="G180" s="7"/>
      <c r="H180" s="7"/>
      <c r="I180" s="7"/>
    </row>
    <row r="181" spans="1:9" x14ac:dyDescent="0.25">
      <c r="A181" s="7"/>
      <c r="B181" s="7"/>
      <c r="C181" s="7"/>
      <c r="D181" s="7"/>
      <c r="E181" s="7"/>
      <c r="F181" s="7"/>
      <c r="G181" s="7"/>
      <c r="H181" s="7"/>
      <c r="I181" s="7"/>
    </row>
    <row r="182" spans="1:9" x14ac:dyDescent="0.25">
      <c r="A182" s="7"/>
      <c r="B182" s="7"/>
      <c r="C182" s="7"/>
      <c r="D182" s="7"/>
      <c r="E182" s="7"/>
      <c r="F182" s="7"/>
      <c r="G182" s="7"/>
      <c r="H182" s="7"/>
      <c r="I182" s="7"/>
    </row>
    <row r="183" spans="1:9" x14ac:dyDescent="0.25">
      <c r="A183" s="7"/>
      <c r="B183" s="7"/>
      <c r="C183" s="7"/>
      <c r="D183" s="7"/>
      <c r="E183" s="7"/>
      <c r="F183" s="7"/>
      <c r="G183" s="7"/>
      <c r="H183" s="7"/>
      <c r="I183" s="7"/>
    </row>
    <row r="184" spans="1:9" x14ac:dyDescent="0.25">
      <c r="A184" s="7"/>
      <c r="B184" s="7"/>
      <c r="C184" s="7"/>
      <c r="D184" s="7"/>
      <c r="E184" s="7"/>
      <c r="F184" s="7"/>
      <c r="G184" s="7"/>
      <c r="H184" s="7"/>
      <c r="I184" s="7"/>
    </row>
    <row r="185" spans="1:9" x14ac:dyDescent="0.25">
      <c r="A185" s="7"/>
      <c r="B185" s="7"/>
      <c r="C185" s="7"/>
      <c r="D185" s="7"/>
      <c r="E185" s="7"/>
      <c r="F185" s="7"/>
      <c r="G185" s="7"/>
      <c r="H185" s="7"/>
      <c r="I185" s="7"/>
    </row>
    <row r="186" spans="1:9" x14ac:dyDescent="0.25">
      <c r="A186" s="7"/>
      <c r="B186" s="7"/>
      <c r="C186" s="7"/>
      <c r="D186" s="7"/>
      <c r="E186" s="7"/>
      <c r="F186" s="7"/>
      <c r="G186" s="7"/>
      <c r="H186" s="7"/>
      <c r="I186" s="7"/>
    </row>
    <row r="187" spans="1:9" x14ac:dyDescent="0.25">
      <c r="A187" s="7"/>
      <c r="B187" s="7"/>
      <c r="C187" s="7"/>
      <c r="D187" s="7"/>
      <c r="E187" s="7"/>
      <c r="F187" s="7"/>
      <c r="G187" s="7"/>
      <c r="H187" s="7"/>
      <c r="I187" s="7"/>
    </row>
    <row r="188" spans="1:9" x14ac:dyDescent="0.25">
      <c r="A188" s="7"/>
      <c r="B188" s="7"/>
      <c r="C188" s="7"/>
      <c r="D188" s="7"/>
      <c r="E188" s="7"/>
      <c r="F188" s="7"/>
      <c r="G188" s="7"/>
      <c r="H188" s="7"/>
      <c r="I188" s="7"/>
    </row>
    <row r="189" spans="1:9" x14ac:dyDescent="0.25">
      <c r="A189" s="7"/>
      <c r="B189" s="7"/>
      <c r="C189" s="7"/>
      <c r="D189" s="7"/>
      <c r="E189" s="7"/>
      <c r="F189" s="7"/>
      <c r="G189" s="7"/>
      <c r="H189" s="7"/>
      <c r="I189" s="7"/>
    </row>
    <row r="190" spans="1:9" x14ac:dyDescent="0.25">
      <c r="A190" s="7"/>
      <c r="B190" s="7"/>
      <c r="C190" s="7"/>
      <c r="D190" s="7"/>
      <c r="E190" s="7"/>
      <c r="F190" s="7"/>
      <c r="G190" s="7"/>
      <c r="H190" s="7"/>
      <c r="I190" s="7"/>
    </row>
    <row r="191" spans="1:9" x14ac:dyDescent="0.25">
      <c r="A191" s="7"/>
      <c r="B191" s="7"/>
      <c r="C191" s="7"/>
      <c r="D191" s="7"/>
      <c r="E191" s="7"/>
      <c r="F191" s="7"/>
      <c r="G191" s="7"/>
      <c r="H191" s="7"/>
      <c r="I191" s="7"/>
    </row>
    <row r="192" spans="1:9" x14ac:dyDescent="0.25">
      <c r="A192" s="7"/>
      <c r="B192" s="7"/>
      <c r="C192" s="7"/>
      <c r="D192" s="7"/>
      <c r="E192" s="7"/>
      <c r="F192" s="7"/>
      <c r="G192" s="7"/>
      <c r="H192" s="7"/>
      <c r="I192" s="7"/>
    </row>
    <row r="193" spans="1:9" x14ac:dyDescent="0.25">
      <c r="A193" s="7"/>
      <c r="B193" s="7"/>
      <c r="C193" s="7"/>
      <c r="D193" s="7"/>
      <c r="E193" s="7"/>
      <c r="F193" s="7"/>
      <c r="G193" s="7"/>
      <c r="H193" s="7"/>
      <c r="I193" s="7"/>
    </row>
    <row r="194" spans="1:9" x14ac:dyDescent="0.25">
      <c r="A194" s="7"/>
      <c r="B194" s="7"/>
      <c r="C194" s="7"/>
      <c r="D194" s="7"/>
      <c r="E194" s="7"/>
      <c r="F194" s="7"/>
      <c r="G194" s="7"/>
      <c r="H194" s="7"/>
      <c r="I194" s="7"/>
    </row>
    <row r="195" spans="1:9" x14ac:dyDescent="0.25">
      <c r="A195" s="7"/>
      <c r="B195" s="7"/>
      <c r="C195" s="7"/>
      <c r="D195" s="7"/>
      <c r="E195" s="7"/>
      <c r="F195" s="7"/>
      <c r="G195" s="7"/>
      <c r="H195" s="7"/>
      <c r="I195" s="7"/>
    </row>
    <row r="196" spans="1:9" x14ac:dyDescent="0.25">
      <c r="A196" s="7"/>
      <c r="B196" s="7"/>
      <c r="C196" s="7"/>
      <c r="D196" s="7"/>
      <c r="E196" s="7"/>
      <c r="F196" s="7"/>
      <c r="G196" s="7"/>
      <c r="H196" s="7"/>
      <c r="I196" s="7"/>
    </row>
    <row r="197" spans="1:9" x14ac:dyDescent="0.25">
      <c r="A197" s="7"/>
      <c r="B197" s="7"/>
      <c r="C197" s="7"/>
      <c r="D197" s="7"/>
      <c r="E197" s="7"/>
      <c r="F197" s="7"/>
      <c r="G197" s="7"/>
      <c r="H197" s="7"/>
      <c r="I197" s="7"/>
    </row>
    <row r="198" spans="1:9" x14ac:dyDescent="0.25">
      <c r="A198" s="7"/>
      <c r="B198" s="7"/>
      <c r="C198" s="7"/>
      <c r="D198" s="7"/>
      <c r="E198" s="7"/>
      <c r="F198" s="7"/>
      <c r="G198" s="7"/>
      <c r="H198" s="7"/>
      <c r="I198" s="7"/>
    </row>
    <row r="199" spans="1:9" x14ac:dyDescent="0.25">
      <c r="A199" s="7"/>
      <c r="B199" s="7"/>
      <c r="C199" s="7"/>
      <c r="D199" s="7"/>
      <c r="E199" s="7"/>
      <c r="F199" s="7"/>
      <c r="G199" s="7"/>
      <c r="H199" s="7"/>
      <c r="I199" s="7"/>
    </row>
    <row r="200" spans="1:9" x14ac:dyDescent="0.25">
      <c r="A200" s="7"/>
      <c r="B200" s="7"/>
      <c r="C200" s="7"/>
      <c r="D200" s="7"/>
      <c r="E200" s="7"/>
      <c r="F200" s="7"/>
      <c r="G200" s="7"/>
      <c r="H200" s="7"/>
      <c r="I200" s="7"/>
    </row>
    <row r="201" spans="1:9" x14ac:dyDescent="0.25">
      <c r="A201" s="7"/>
      <c r="B201" s="7"/>
      <c r="C201" s="7"/>
      <c r="D201" s="7"/>
      <c r="E201" s="7"/>
      <c r="F201" s="7"/>
      <c r="G201" s="7"/>
      <c r="H201" s="7"/>
      <c r="I201" s="7"/>
    </row>
    <row r="202" spans="1:9" x14ac:dyDescent="0.25">
      <c r="A202" s="7"/>
      <c r="B202" s="7"/>
      <c r="C202" s="7"/>
      <c r="D202" s="7"/>
      <c r="E202" s="7"/>
      <c r="F202" s="7"/>
      <c r="G202" s="7"/>
      <c r="H202" s="7"/>
      <c r="I202" s="7"/>
    </row>
    <row r="203" spans="1:9" x14ac:dyDescent="0.25">
      <c r="A203" s="7"/>
      <c r="B203" s="7"/>
      <c r="C203" s="7"/>
      <c r="D203" s="7"/>
      <c r="E203" s="7"/>
      <c r="F203" s="7"/>
      <c r="G203" s="7"/>
      <c r="H203" s="7"/>
      <c r="I203" s="7"/>
    </row>
    <row r="204" spans="1:9" x14ac:dyDescent="0.25">
      <c r="A204" s="7"/>
      <c r="B204" s="7"/>
      <c r="C204" s="7"/>
      <c r="D204" s="7"/>
      <c r="E204" s="7"/>
      <c r="F204" s="7"/>
      <c r="G204" s="7"/>
      <c r="H204" s="7"/>
      <c r="I204" s="7"/>
    </row>
    <row r="205" spans="1:9" x14ac:dyDescent="0.25">
      <c r="A205" s="7"/>
      <c r="B205" s="7"/>
      <c r="C205" s="7"/>
      <c r="D205" s="7"/>
      <c r="E205" s="7"/>
      <c r="F205" s="7"/>
      <c r="G205" s="7"/>
      <c r="H205" s="7"/>
      <c r="I205" s="7"/>
    </row>
    <row r="206" spans="1:9" x14ac:dyDescent="0.25">
      <c r="A206" s="7"/>
      <c r="B206" s="7"/>
      <c r="C206" s="7"/>
      <c r="D206" s="7"/>
      <c r="E206" s="7"/>
      <c r="F206" s="7"/>
      <c r="G206" s="7"/>
      <c r="H206" s="7"/>
      <c r="I206" s="7"/>
    </row>
    <row r="207" spans="1:9" x14ac:dyDescent="0.25">
      <c r="A207" s="7"/>
      <c r="B207" s="7"/>
      <c r="C207" s="7"/>
      <c r="D207" s="7"/>
      <c r="E207" s="7"/>
      <c r="F207" s="7"/>
      <c r="G207" s="7"/>
      <c r="H207" s="7"/>
      <c r="I207" s="7"/>
    </row>
    <row r="208" spans="1:9" x14ac:dyDescent="0.25">
      <c r="A208" s="7"/>
      <c r="B208" s="7"/>
      <c r="C208" s="7"/>
      <c r="D208" s="7"/>
      <c r="E208" s="7"/>
      <c r="F208" s="7"/>
      <c r="G208" s="7"/>
      <c r="H208" s="7"/>
      <c r="I208" s="7"/>
    </row>
    <row r="209" spans="1:9" x14ac:dyDescent="0.25">
      <c r="A209" s="7"/>
      <c r="B209" s="7"/>
      <c r="C209" s="7"/>
      <c r="D209" s="7"/>
      <c r="E209" s="7"/>
      <c r="F209" s="7"/>
      <c r="G209" s="7"/>
      <c r="H209" s="7"/>
      <c r="I209" s="7"/>
    </row>
    <row r="210" spans="1:9" x14ac:dyDescent="0.25">
      <c r="A210" s="7"/>
      <c r="B210" s="7"/>
      <c r="C210" s="7"/>
      <c r="D210" s="7"/>
      <c r="E210" s="7"/>
      <c r="F210" s="7"/>
      <c r="G210" s="7"/>
      <c r="H210" s="7"/>
      <c r="I210" s="7"/>
    </row>
    <row r="211" spans="1:9" x14ac:dyDescent="0.25">
      <c r="A211" s="7"/>
      <c r="B211" s="7"/>
      <c r="C211" s="7"/>
      <c r="D211" s="7"/>
      <c r="E211" s="7"/>
      <c r="F211" s="7"/>
      <c r="G211" s="7"/>
      <c r="H211" s="7"/>
      <c r="I211" s="7"/>
    </row>
    <row r="212" spans="1:9" x14ac:dyDescent="0.25">
      <c r="A212" s="7"/>
      <c r="B212" s="7"/>
      <c r="C212" s="7"/>
      <c r="D212" s="7"/>
      <c r="E212" s="7"/>
      <c r="F212" s="7"/>
      <c r="G212" s="7"/>
      <c r="H212" s="7"/>
      <c r="I212" s="7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</sheetData>
  <sheetProtection sheet="1" objects="1" scenarios="1"/>
  <mergeCells count="247">
    <mergeCell ref="F118:I118"/>
    <mergeCell ref="F119:I119"/>
    <mergeCell ref="F120:I120"/>
    <mergeCell ref="F121:I121"/>
    <mergeCell ref="B118:E118"/>
    <mergeCell ref="B119:E119"/>
    <mergeCell ref="B120:E120"/>
    <mergeCell ref="B121:E121"/>
    <mergeCell ref="C124:E124"/>
    <mergeCell ref="A122:I122"/>
    <mergeCell ref="H123:I124"/>
    <mergeCell ref="H125:I125"/>
    <mergeCell ref="H126:I126"/>
    <mergeCell ref="H127:I127"/>
    <mergeCell ref="H158:I158"/>
    <mergeCell ref="H139:I139"/>
    <mergeCell ref="A140:I140"/>
    <mergeCell ref="A141:I141"/>
    <mergeCell ref="H135:I135"/>
    <mergeCell ref="C153:D153"/>
    <mergeCell ref="H134:I134"/>
    <mergeCell ref="C127:D127"/>
    <mergeCell ref="C138:D138"/>
    <mergeCell ref="C139:D139"/>
    <mergeCell ref="C133:D133"/>
    <mergeCell ref="C134:D134"/>
    <mergeCell ref="C135:D135"/>
    <mergeCell ref="B146:E146"/>
    <mergeCell ref="B147:E147"/>
    <mergeCell ref="C137:D137"/>
    <mergeCell ref="C128:D128"/>
    <mergeCell ref="C130:D130"/>
    <mergeCell ref="C131:D131"/>
    <mergeCell ref="C132:D132"/>
    <mergeCell ref="C154:D154"/>
    <mergeCell ref="H166:I166"/>
    <mergeCell ref="H167:I167"/>
    <mergeCell ref="C167:D167"/>
    <mergeCell ref="C159:D159"/>
    <mergeCell ref="C160:D160"/>
    <mergeCell ref="C162:D162"/>
    <mergeCell ref="C163:D163"/>
    <mergeCell ref="C164:D164"/>
    <mergeCell ref="C165:D165"/>
    <mergeCell ref="C161:D161"/>
    <mergeCell ref="C166:D166"/>
    <mergeCell ref="H159:I159"/>
    <mergeCell ref="H160:I160"/>
    <mergeCell ref="H161:I161"/>
    <mergeCell ref="H162:I162"/>
    <mergeCell ref="H163:I163"/>
    <mergeCell ref="H164:I164"/>
    <mergeCell ref="H165:I165"/>
    <mergeCell ref="A168:I168"/>
    <mergeCell ref="C155:D155"/>
    <mergeCell ref="C156:D156"/>
    <mergeCell ref="C157:D157"/>
    <mergeCell ref="C158:D158"/>
    <mergeCell ref="F143:G143"/>
    <mergeCell ref="F144:I144"/>
    <mergeCell ref="B143:E144"/>
    <mergeCell ref="B145:E145"/>
    <mergeCell ref="B148:E148"/>
    <mergeCell ref="F145:I145"/>
    <mergeCell ref="F146:I146"/>
    <mergeCell ref="F147:I147"/>
    <mergeCell ref="F148:I148"/>
    <mergeCell ref="H150:I151"/>
    <mergeCell ref="H152:I152"/>
    <mergeCell ref="H153:I153"/>
    <mergeCell ref="H154:I154"/>
    <mergeCell ref="H155:I155"/>
    <mergeCell ref="H156:I156"/>
    <mergeCell ref="H157:I157"/>
    <mergeCell ref="B150:B152"/>
    <mergeCell ref="C150:E150"/>
    <mergeCell ref="F150:G150"/>
    <mergeCell ref="A108:C108"/>
    <mergeCell ref="F108:G108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C27:E27"/>
    <mergeCell ref="A87:G88"/>
    <mergeCell ref="A89:G89"/>
    <mergeCell ref="A90:G90"/>
    <mergeCell ref="F34:I34"/>
    <mergeCell ref="D101:E101"/>
    <mergeCell ref="F60:G60"/>
    <mergeCell ref="B61:C61"/>
    <mergeCell ref="D61:E61"/>
    <mergeCell ref="F61:G61"/>
    <mergeCell ref="B62:C62"/>
    <mergeCell ref="D62:E62"/>
    <mergeCell ref="H128:I128"/>
    <mergeCell ref="A77:G77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F29:I29"/>
    <mergeCell ref="D110:E110"/>
    <mergeCell ref="D109:E109"/>
    <mergeCell ref="A51:A52"/>
    <mergeCell ref="D97:E97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A41:G41"/>
    <mergeCell ref="F97:G97"/>
    <mergeCell ref="A96:G96"/>
    <mergeCell ref="A68:I68"/>
    <mergeCell ref="A74:I74"/>
    <mergeCell ref="A86:I86"/>
    <mergeCell ref="D98:E98"/>
    <mergeCell ref="F98:G98"/>
    <mergeCell ref="F102:G102"/>
    <mergeCell ref="B64:C64"/>
    <mergeCell ref="A101:C102"/>
    <mergeCell ref="F101:G101"/>
    <mergeCell ref="A92:G92"/>
    <mergeCell ref="A91:G91"/>
    <mergeCell ref="A79:I79"/>
    <mergeCell ref="A80:I80"/>
    <mergeCell ref="A84:I84"/>
    <mergeCell ref="A81:G82"/>
    <mergeCell ref="A83:G83"/>
    <mergeCell ref="D64:E64"/>
    <mergeCell ref="F64:G64"/>
    <mergeCell ref="B65:C65"/>
    <mergeCell ref="D65:E65"/>
    <mergeCell ref="F65:G65"/>
    <mergeCell ref="A69:F71"/>
    <mergeCell ref="D45:E45"/>
    <mergeCell ref="B45:C45"/>
    <mergeCell ref="B53:C53"/>
    <mergeCell ref="D53:E53"/>
    <mergeCell ref="F45:G45"/>
    <mergeCell ref="F46:G46"/>
    <mergeCell ref="A67:I67"/>
    <mergeCell ref="F47:G47"/>
    <mergeCell ref="F54:G54"/>
    <mergeCell ref="B47:C47"/>
    <mergeCell ref="F62:G62"/>
    <mergeCell ref="B63:C63"/>
    <mergeCell ref="D63:E63"/>
    <mergeCell ref="F63:G63"/>
    <mergeCell ref="H116:I116"/>
    <mergeCell ref="B116:E117"/>
    <mergeCell ref="A109:C109"/>
    <mergeCell ref="F109:G109"/>
    <mergeCell ref="F43:G43"/>
    <mergeCell ref="F44:G44"/>
    <mergeCell ref="A97:C98"/>
    <mergeCell ref="A75:G76"/>
    <mergeCell ref="D47:E47"/>
    <mergeCell ref="D52:E52"/>
    <mergeCell ref="F56:G56"/>
    <mergeCell ref="A73:I73"/>
    <mergeCell ref="F55:G55"/>
    <mergeCell ref="D46:E46"/>
    <mergeCell ref="F117:I117"/>
    <mergeCell ref="A58:G58"/>
    <mergeCell ref="A59:G59"/>
    <mergeCell ref="A60:A61"/>
    <mergeCell ref="B60:C60"/>
    <mergeCell ref="D60:E60"/>
    <mergeCell ref="D107:E107"/>
    <mergeCell ref="A113:I113"/>
    <mergeCell ref="A106:G106"/>
    <mergeCell ref="A114:I114"/>
    <mergeCell ref="A142:I142"/>
    <mergeCell ref="H130:I130"/>
    <mergeCell ref="H131:I131"/>
    <mergeCell ref="H132:I132"/>
    <mergeCell ref="H133:I133"/>
    <mergeCell ref="H129:I129"/>
    <mergeCell ref="C151:E151"/>
    <mergeCell ref="F151:G151"/>
    <mergeCell ref="A149:H149"/>
    <mergeCell ref="A150:A152"/>
    <mergeCell ref="A143:A144"/>
    <mergeCell ref="C129:D129"/>
    <mergeCell ref="C136:D136"/>
    <mergeCell ref="H136:I136"/>
    <mergeCell ref="H137:I137"/>
    <mergeCell ref="H138:I138"/>
    <mergeCell ref="C152:D152"/>
    <mergeCell ref="C126:D126"/>
    <mergeCell ref="C123:E123"/>
    <mergeCell ref="F123:G123"/>
    <mergeCell ref="A49:G49"/>
    <mergeCell ref="B54:C54"/>
    <mergeCell ref="D54:E54"/>
    <mergeCell ref="B51:C51"/>
    <mergeCell ref="D51:E51"/>
    <mergeCell ref="B52:C52"/>
    <mergeCell ref="A50:G50"/>
    <mergeCell ref="F124:G124"/>
    <mergeCell ref="A123:A125"/>
    <mergeCell ref="A93:I93"/>
    <mergeCell ref="A94:I94"/>
    <mergeCell ref="A85:I85"/>
    <mergeCell ref="A116:A117"/>
    <mergeCell ref="F110:G110"/>
    <mergeCell ref="F107:G107"/>
    <mergeCell ref="B123:B125"/>
    <mergeCell ref="C125:D125"/>
    <mergeCell ref="F116:G116"/>
    <mergeCell ref="A115:I115"/>
    <mergeCell ref="D108:E108"/>
    <mergeCell ref="D102:E102"/>
  </mergeCells>
  <phoneticPr fontId="7" type="noConversion"/>
  <pageMargins left="0.43307086614173229" right="0.39370078740157483" top="0.39370078740157483" bottom="0.39370078740157483" header="0.19685039370078741" footer="7.874015748031496E-2"/>
  <pageSetup paperSize="9" scale="79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2" manualBreakCount="2">
    <brk id="56" max="16383" man="1"/>
    <brk id="11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8"/>
  <sheetViews>
    <sheetView view="pageBreakPreview" zoomScaleSheetLayoutView="100" workbookViewId="0">
      <selection activeCell="C37" sqref="C37:D37"/>
    </sheetView>
  </sheetViews>
  <sheetFormatPr defaultColWidth="8.85546875" defaultRowHeight="15" x14ac:dyDescent="0.25"/>
  <cols>
    <col min="1" max="1" width="21.7109375" style="2" customWidth="1"/>
    <col min="2" max="2" width="20.7109375" style="2" customWidth="1"/>
    <col min="3" max="3" width="14" style="2" customWidth="1"/>
    <col min="4" max="4" width="21.7109375" style="2" customWidth="1"/>
    <col min="5" max="5" width="17.140625" style="2" customWidth="1"/>
    <col min="6" max="6" width="21.28515625" style="2" customWidth="1"/>
    <col min="7" max="7" width="0.140625" style="2" customWidth="1"/>
    <col min="8" max="8" width="17.140625" style="2" customWidth="1"/>
    <col min="9" max="9" width="26.7109375" style="2" customWidth="1"/>
    <col min="10" max="16384" width="8.85546875" style="2"/>
  </cols>
  <sheetData>
    <row r="1" spans="1:16" ht="27.95" customHeight="1" x14ac:dyDescent="0.3">
      <c r="A1" s="1019" t="s">
        <v>368</v>
      </c>
      <c r="B1" s="1020"/>
      <c r="C1" s="1020"/>
      <c r="D1" s="1020"/>
      <c r="E1" s="1020"/>
      <c r="F1" s="1020"/>
      <c r="G1" s="1021"/>
      <c r="N1" s="755"/>
      <c r="O1" s="755"/>
      <c r="P1" s="755"/>
    </row>
    <row r="2" spans="1:16" ht="27" customHeight="1" thickBot="1" x14ac:dyDescent="0.35">
      <c r="A2" s="1050" t="str">
        <f>'Forside 1'!A6:I6</f>
        <v>Gældende fra 1. september 2024</v>
      </c>
      <c r="B2" s="1051"/>
      <c r="C2" s="1051"/>
      <c r="D2" s="1051"/>
      <c r="E2" s="1051"/>
      <c r="F2" s="1051"/>
      <c r="G2" s="771"/>
      <c r="H2" s="771"/>
      <c r="I2" s="772"/>
      <c r="N2" s="755"/>
      <c r="O2" s="755"/>
      <c r="P2" s="755"/>
    </row>
    <row r="3" spans="1:16" ht="18" customHeight="1" thickBot="1" x14ac:dyDescent="0.3">
      <c r="A3" s="757"/>
      <c r="B3" s="757"/>
      <c r="C3" s="757"/>
      <c r="D3" s="757"/>
      <c r="E3" s="757"/>
      <c r="F3" s="757"/>
      <c r="G3" s="756"/>
      <c r="N3" s="755"/>
      <c r="O3" s="755"/>
      <c r="P3" s="755"/>
    </row>
    <row r="4" spans="1:16" ht="14.1" customHeight="1" x14ac:dyDescent="0.25">
      <c r="A4" s="1135" t="s">
        <v>334</v>
      </c>
      <c r="B4" s="1136"/>
      <c r="C4" s="1136"/>
      <c r="D4" s="1136"/>
      <c r="E4" s="1136"/>
      <c r="F4" s="1137"/>
      <c r="G4" s="80"/>
      <c r="N4" s="1112"/>
      <c r="O4" s="1112"/>
      <c r="P4" s="1112"/>
    </row>
    <row r="5" spans="1:16" ht="14.1" customHeight="1" x14ac:dyDescent="0.25">
      <c r="A5" s="1138"/>
      <c r="B5" s="1139"/>
      <c r="C5" s="1139"/>
      <c r="D5" s="1139"/>
      <c r="E5" s="1139"/>
      <c r="F5" s="1140"/>
      <c r="G5" s="80"/>
      <c r="H5"/>
      <c r="N5" s="42"/>
      <c r="O5" s="42"/>
      <c r="P5" s="42"/>
    </row>
    <row r="6" spans="1:16" customFormat="1" ht="15" customHeight="1" thickBot="1" x14ac:dyDescent="0.3">
      <c r="A6" s="991" t="s">
        <v>271</v>
      </c>
      <c r="B6" s="992"/>
      <c r="C6" s="992"/>
      <c r="D6" s="992"/>
      <c r="E6" s="992"/>
      <c r="F6" s="993"/>
      <c r="G6" s="80"/>
    </row>
    <row r="7" spans="1:16" customFormat="1" ht="15" customHeight="1" x14ac:dyDescent="0.25">
      <c r="A7" s="1131"/>
      <c r="B7" s="1132"/>
      <c r="C7" s="1108" t="s">
        <v>131</v>
      </c>
      <c r="D7" s="1109"/>
      <c r="E7" s="1108" t="s">
        <v>301</v>
      </c>
      <c r="F7" s="1109"/>
      <c r="G7" s="60"/>
    </row>
    <row r="8" spans="1:16" customFormat="1" ht="24" customHeight="1" thickBot="1" x14ac:dyDescent="0.3">
      <c r="A8" s="1133"/>
      <c r="B8" s="1134"/>
      <c r="C8" s="1105">
        <v>40999</v>
      </c>
      <c r="D8" s="1101"/>
      <c r="E8" s="1100" t="str">
        <f>'Løntabel gældende fra'!D1</f>
        <v>01/04/24</v>
      </c>
      <c r="F8" s="1101"/>
      <c r="G8" s="60"/>
    </row>
    <row r="9" spans="1:16" customFormat="1" ht="17.100000000000001" customHeight="1" thickBot="1" x14ac:dyDescent="0.3">
      <c r="A9" s="1110" t="s">
        <v>115</v>
      </c>
      <c r="B9" s="1111"/>
      <c r="C9" s="1114" t="s">
        <v>278</v>
      </c>
      <c r="D9" s="1103"/>
      <c r="E9" s="1114" t="s">
        <v>278</v>
      </c>
      <c r="F9" s="1103"/>
      <c r="G9" s="60"/>
    </row>
    <row r="10" spans="1:16" customFormat="1" ht="17.100000000000001" customHeight="1" x14ac:dyDescent="0.25">
      <c r="A10" s="1147" t="s">
        <v>116</v>
      </c>
      <c r="B10" s="1148"/>
      <c r="C10" s="97">
        <v>370554</v>
      </c>
      <c r="D10" s="98">
        <v>440413</v>
      </c>
      <c r="E10" s="97">
        <f>C10+C10*'Løntabel gældende fra'!$D$7%</f>
        <v>455065.13911799999</v>
      </c>
      <c r="F10" s="98">
        <f>D10+D10*'Løntabel gældende fra'!$D$7%</f>
        <v>540856.67167099996</v>
      </c>
      <c r="G10" s="53"/>
    </row>
    <row r="11" spans="1:16" customFormat="1" ht="17.100000000000001" customHeight="1" x14ac:dyDescent="0.25">
      <c r="A11" s="1125" t="s">
        <v>117</v>
      </c>
      <c r="B11" s="1126"/>
      <c r="C11" s="99">
        <v>406159</v>
      </c>
      <c r="D11" s="123">
        <v>486503</v>
      </c>
      <c r="E11" s="100">
        <f>C11+C11*'Løntabel gældende fra'!$D$7%</f>
        <v>498790.464653</v>
      </c>
      <c r="F11" s="95">
        <f>D11+D11*'Løntabel gældende fra'!$D$7%</f>
        <v>597458.27970099996</v>
      </c>
      <c r="G11" s="53"/>
    </row>
    <row r="12" spans="1:16" customFormat="1" ht="17.100000000000001" customHeight="1" x14ac:dyDescent="0.25">
      <c r="A12" s="1149" t="s">
        <v>332</v>
      </c>
      <c r="B12" s="1150"/>
      <c r="C12" s="100">
        <v>441765</v>
      </c>
      <c r="D12" s="95">
        <v>531283</v>
      </c>
      <c r="E12" s="100">
        <f>C12+C12*'Løntabel gældende fra'!$D$7%</f>
        <v>542517.018255</v>
      </c>
      <c r="F12" s="95">
        <f>D12+D12*'Løntabel gældende fra'!$D$7%</f>
        <v>652451.11996100005</v>
      </c>
      <c r="G12" s="53"/>
      <c r="H12" s="57"/>
    </row>
    <row r="13" spans="1:16" s="57" customFormat="1" ht="17.100000000000001" customHeight="1" thickBot="1" x14ac:dyDescent="0.3">
      <c r="A13" s="1143" t="s">
        <v>333</v>
      </c>
      <c r="B13" s="1144"/>
      <c r="C13" s="626">
        <v>441765</v>
      </c>
      <c r="D13" s="627">
        <v>586331</v>
      </c>
      <c r="E13" s="626">
        <f>C13+C13*'Løntabel gældende fra'!$D$7%</f>
        <v>542517.018255</v>
      </c>
      <c r="F13" s="627">
        <f>D13+D13*'Løntabel gældende fra'!$D$7%</f>
        <v>720053.75217700005</v>
      </c>
      <c r="G13" s="53"/>
      <c r="H13" s="2"/>
    </row>
    <row r="14" spans="1:16" ht="18" customHeight="1" thickBot="1" x14ac:dyDescent="0.3">
      <c r="A14" s="79"/>
      <c r="B14" s="79"/>
      <c r="C14" s="79"/>
      <c r="D14" s="79"/>
      <c r="E14" s="79"/>
      <c r="F14" s="79"/>
      <c r="G14" s="79"/>
    </row>
    <row r="15" spans="1:16" ht="14.1" customHeight="1" x14ac:dyDescent="0.25">
      <c r="A15" s="975" t="s">
        <v>337</v>
      </c>
      <c r="B15" s="976"/>
      <c r="C15" s="976"/>
      <c r="D15" s="976"/>
      <c r="E15" s="976"/>
      <c r="F15" s="977"/>
      <c r="G15" s="80"/>
      <c r="H15" s="639"/>
    </row>
    <row r="16" spans="1:16" ht="14.1" customHeight="1" x14ac:dyDescent="0.25">
      <c r="A16" s="1122"/>
      <c r="B16" s="1123"/>
      <c r="C16" s="1123"/>
      <c r="D16" s="1123"/>
      <c r="E16" s="1123"/>
      <c r="F16" s="1124"/>
      <c r="G16" s="80"/>
      <c r="H16" s="639" t="s">
        <v>129</v>
      </c>
      <c r="I16" s="639"/>
      <c r="N16" s="42"/>
      <c r="O16" s="42"/>
      <c r="P16" s="42"/>
    </row>
    <row r="17" spans="1:16" customFormat="1" ht="15" customHeight="1" thickBot="1" x14ac:dyDescent="0.3">
      <c r="A17" s="991" t="s">
        <v>271</v>
      </c>
      <c r="B17" s="992"/>
      <c r="C17" s="992"/>
      <c r="D17" s="992"/>
      <c r="E17" s="992"/>
      <c r="F17" s="993"/>
      <c r="G17" s="80"/>
      <c r="H17" s="640"/>
      <c r="I17" s="639"/>
    </row>
    <row r="18" spans="1:16" customFormat="1" ht="15" customHeight="1" x14ac:dyDescent="0.25">
      <c r="A18" s="951"/>
      <c r="B18" s="953"/>
      <c r="C18" s="1104" t="s">
        <v>131</v>
      </c>
      <c r="D18" s="917"/>
      <c r="E18" s="1104" t="s">
        <v>301</v>
      </c>
      <c r="F18" s="917"/>
      <c r="G18" s="60"/>
      <c r="H18" s="639"/>
      <c r="I18" s="640"/>
    </row>
    <row r="19" spans="1:16" customFormat="1" ht="24" customHeight="1" thickBot="1" x14ac:dyDescent="0.3">
      <c r="A19" s="1106"/>
      <c r="B19" s="1107"/>
      <c r="C19" s="1105">
        <v>40999</v>
      </c>
      <c r="D19" s="1101"/>
      <c r="E19" s="1100" t="str">
        <f>'Løntabel gældende fra'!D1</f>
        <v>01/04/24</v>
      </c>
      <c r="F19" s="1101"/>
      <c r="G19" s="60"/>
      <c r="H19" s="640">
        <v>35388</v>
      </c>
      <c r="I19" s="639"/>
    </row>
    <row r="20" spans="1:16" customFormat="1" ht="17.100000000000001" customHeight="1" thickBot="1" x14ac:dyDescent="0.3">
      <c r="A20" s="628" t="s">
        <v>115</v>
      </c>
      <c r="B20" s="412" t="s">
        <v>119</v>
      </c>
      <c r="C20" s="1102" t="s">
        <v>278</v>
      </c>
      <c r="D20" s="1103"/>
      <c r="E20" s="1114" t="s">
        <v>278</v>
      </c>
      <c r="F20" s="1103"/>
      <c r="G20" s="60"/>
      <c r="H20" s="640">
        <v>35388</v>
      </c>
      <c r="I20" s="640">
        <v>26213</v>
      </c>
    </row>
    <row r="21" spans="1:16" customFormat="1" ht="17.100000000000001" customHeight="1" x14ac:dyDescent="0.25">
      <c r="A21" s="632" t="s">
        <v>120</v>
      </c>
      <c r="B21" s="631" t="s">
        <v>121</v>
      </c>
      <c r="C21" s="124">
        <f>C10+H19</f>
        <v>405942</v>
      </c>
      <c r="D21" s="125">
        <f>D10+I20</f>
        <v>466626</v>
      </c>
      <c r="E21" s="121">
        <f>C21+C21*'Løntabel gældende fra'!$D$7%</f>
        <v>498523.97411399998</v>
      </c>
      <c r="F21" s="122">
        <f>D21+D21*'Løntabel gældende fra'!$D$7%</f>
        <v>573047.99194199999</v>
      </c>
      <c r="G21" s="53"/>
      <c r="H21" s="640">
        <v>35388</v>
      </c>
      <c r="I21" s="640">
        <v>26213</v>
      </c>
    </row>
    <row r="22" spans="1:16" customFormat="1" ht="17.100000000000001" customHeight="1" x14ac:dyDescent="0.25">
      <c r="A22" s="399" t="s">
        <v>117</v>
      </c>
      <c r="B22" s="90" t="s">
        <v>121</v>
      </c>
      <c r="C22" s="99">
        <f>C11+H20</f>
        <v>441547</v>
      </c>
      <c r="D22" s="123">
        <f>D11+I21</f>
        <v>512716</v>
      </c>
      <c r="E22" s="96">
        <f>C22+C22*'Løntabel gældende fra'!$D$7%</f>
        <v>542249.29964899994</v>
      </c>
      <c r="F22" s="95">
        <f>D22+D22*'Løntabel gældende fra'!$D$7%</f>
        <v>629649.599972</v>
      </c>
      <c r="G22" s="53"/>
      <c r="H22" s="640">
        <v>52426</v>
      </c>
      <c r="I22" s="640">
        <v>26213</v>
      </c>
    </row>
    <row r="23" spans="1:16" s="57" customFormat="1" ht="17.100000000000001" customHeight="1" x14ac:dyDescent="0.25">
      <c r="A23" s="629" t="s">
        <v>118</v>
      </c>
      <c r="B23" s="630" t="s">
        <v>121</v>
      </c>
      <c r="C23" s="124">
        <f>C12+H21</f>
        <v>477153</v>
      </c>
      <c r="D23" s="125">
        <f>D12+I22</f>
        <v>557496</v>
      </c>
      <c r="E23" s="126">
        <f>C23+C23*'Løntabel gældende fra'!$D$7%</f>
        <v>585975.85325099993</v>
      </c>
      <c r="F23" s="127">
        <f>D23+D23*'Løntabel gældende fra'!$D$7%</f>
        <v>684642.44023199996</v>
      </c>
      <c r="G23" s="53"/>
      <c r="H23" s="640">
        <v>52426</v>
      </c>
      <c r="I23" s="640">
        <v>43252</v>
      </c>
    </row>
    <row r="24" spans="1:16" s="57" customFormat="1" ht="17.100000000000001" customHeight="1" x14ac:dyDescent="0.3">
      <c r="A24" s="633" t="s">
        <v>122</v>
      </c>
      <c r="B24" s="635" t="s">
        <v>123</v>
      </c>
      <c r="C24" s="100">
        <f>C10+H22</f>
        <v>422980</v>
      </c>
      <c r="D24" s="95">
        <f>D10+I23</f>
        <v>483665</v>
      </c>
      <c r="E24" s="96">
        <f>C24+C24*'Løntabel gældende fra'!$D$7%</f>
        <v>519447.77966</v>
      </c>
      <c r="F24" s="95">
        <f>D24+D24*'Løntabel gældende fra'!$D$7%</f>
        <v>593973.02555499994</v>
      </c>
      <c r="G24" s="67"/>
      <c r="H24" s="640">
        <v>52426</v>
      </c>
      <c r="I24" s="640">
        <v>43252</v>
      </c>
    </row>
    <row r="25" spans="1:16" s="57" customFormat="1" ht="17.100000000000001" customHeight="1" x14ac:dyDescent="0.3">
      <c r="A25" s="633" t="s">
        <v>117</v>
      </c>
      <c r="B25" s="635" t="s">
        <v>123</v>
      </c>
      <c r="C25" s="124">
        <f>C11+H23</f>
        <v>458585</v>
      </c>
      <c r="D25" s="125">
        <f>D11+I24</f>
        <v>529755</v>
      </c>
      <c r="E25" s="128">
        <f>C25+C25*'Løntabel gældende fra'!$D$7%</f>
        <v>563173.10519499995</v>
      </c>
      <c r="F25" s="125">
        <f>D25+D25*'Løntabel gældende fra'!$D$7%</f>
        <v>650574.63358499995</v>
      </c>
      <c r="G25" s="67"/>
      <c r="H25" s="641">
        <v>70776</v>
      </c>
      <c r="I25" s="640">
        <v>43252</v>
      </c>
    </row>
    <row r="26" spans="1:16" s="57" customFormat="1" ht="17.100000000000001" customHeight="1" x14ac:dyDescent="0.3">
      <c r="A26" s="633" t="s">
        <v>118</v>
      </c>
      <c r="B26" s="635" t="s">
        <v>123</v>
      </c>
      <c r="C26" s="100">
        <f>C12+H24</f>
        <v>494191</v>
      </c>
      <c r="D26" s="95">
        <f>D12+I25</f>
        <v>574535</v>
      </c>
      <c r="E26" s="96">
        <f>C26+C26*'Løntabel gældende fra'!$D$7%</f>
        <v>606899.65879699995</v>
      </c>
      <c r="F26" s="95">
        <f>D26+D26*'Løntabel gældende fra'!$D$7%</f>
        <v>705567.47384500003</v>
      </c>
      <c r="G26" s="67"/>
      <c r="H26" s="641">
        <v>70776</v>
      </c>
      <c r="I26" s="641">
        <v>61601</v>
      </c>
    </row>
    <row r="27" spans="1:16" s="57" customFormat="1" ht="17.100000000000001" customHeight="1" x14ac:dyDescent="0.3">
      <c r="A27" s="633" t="s">
        <v>122</v>
      </c>
      <c r="B27" s="635" t="s">
        <v>124</v>
      </c>
      <c r="C27" s="100">
        <f>C10+H25</f>
        <v>441330</v>
      </c>
      <c r="D27" s="95">
        <f>D10+I26</f>
        <v>502014</v>
      </c>
      <c r="E27" s="121">
        <f>C27+C27*'Løntabel gældende fra'!$D$7%</f>
        <v>541982.80911000003</v>
      </c>
      <c r="F27" s="122">
        <f>D27+D27*'Løntabel gældende fra'!$D$7%</f>
        <v>616506.82693800004</v>
      </c>
      <c r="G27" s="67"/>
      <c r="H27" s="641">
        <v>70776</v>
      </c>
      <c r="I27" s="641">
        <v>61601</v>
      </c>
    </row>
    <row r="28" spans="1:16" s="57" customFormat="1" ht="17.100000000000001" customHeight="1" x14ac:dyDescent="0.3">
      <c r="A28" s="633" t="s">
        <v>117</v>
      </c>
      <c r="B28" s="635" t="s">
        <v>124</v>
      </c>
      <c r="C28" s="100">
        <f>C11+H26</f>
        <v>476935</v>
      </c>
      <c r="D28" s="95">
        <f>D11+I27</f>
        <v>548104</v>
      </c>
      <c r="E28" s="96">
        <f>C28+C28*'Løntabel gældende fra'!$D$7%</f>
        <v>585708.13464499998</v>
      </c>
      <c r="F28" s="95">
        <f>D28+D28*'Løntabel gældende fra'!$D$7%</f>
        <v>673108.43496800005</v>
      </c>
      <c r="G28" s="67"/>
      <c r="H28" s="641"/>
      <c r="I28" s="641">
        <v>61601</v>
      </c>
    </row>
    <row r="29" spans="1:16" s="57" customFormat="1" ht="18" customHeight="1" thickBot="1" x14ac:dyDescent="0.35">
      <c r="A29" s="634" t="s">
        <v>118</v>
      </c>
      <c r="B29" s="636" t="s">
        <v>124</v>
      </c>
      <c r="C29" s="101">
        <f>C12+H27</f>
        <v>512541</v>
      </c>
      <c r="D29" s="103">
        <f>D12+I28</f>
        <v>592884</v>
      </c>
      <c r="E29" s="102">
        <f>C29+C29*'Løntabel gældende fra'!$D$7%</f>
        <v>629434.68824699998</v>
      </c>
      <c r="F29" s="103">
        <f>D29+D29*'Løntabel gældende fra'!$D$7%</f>
        <v>728101.27522800001</v>
      </c>
      <c r="G29" s="67"/>
      <c r="H29" s="2"/>
      <c r="I29" s="641"/>
    </row>
    <row r="30" spans="1:16" ht="24" customHeight="1" thickBot="1" x14ac:dyDescent="0.35">
      <c r="A30" s="67"/>
      <c r="B30" s="67"/>
      <c r="C30" s="67"/>
      <c r="D30" s="67"/>
      <c r="E30" s="67"/>
      <c r="F30" s="67"/>
      <c r="G30" s="67"/>
      <c r="N30" s="1121"/>
      <c r="O30" s="1121"/>
      <c r="P30" s="1121"/>
    </row>
    <row r="31" spans="1:16" ht="11.1" customHeight="1" x14ac:dyDescent="0.25">
      <c r="A31" s="1115" t="s">
        <v>357</v>
      </c>
      <c r="B31" s="1116"/>
      <c r="C31" s="1116"/>
      <c r="D31" s="1116"/>
      <c r="E31" s="1116"/>
      <c r="F31" s="1117"/>
      <c r="G31" s="80"/>
      <c r="N31" s="1112"/>
      <c r="O31" s="1112"/>
      <c r="P31" s="1112"/>
    </row>
    <row r="32" spans="1:16" ht="14.1" customHeight="1" x14ac:dyDescent="0.25">
      <c r="A32" s="1118"/>
      <c r="B32" s="1119"/>
      <c r="C32" s="1119"/>
      <c r="D32" s="1119"/>
      <c r="E32" s="1119"/>
      <c r="F32" s="1120"/>
      <c r="G32" s="80"/>
      <c r="H32"/>
      <c r="N32" s="42"/>
      <c r="O32" s="42"/>
      <c r="P32" s="42"/>
    </row>
    <row r="33" spans="1:11" customFormat="1" ht="15" customHeight="1" thickBot="1" x14ac:dyDescent="0.3">
      <c r="A33" s="991" t="s">
        <v>271</v>
      </c>
      <c r="B33" s="992"/>
      <c r="C33" s="992"/>
      <c r="D33" s="992"/>
      <c r="E33" s="992"/>
      <c r="F33" s="993"/>
      <c r="G33" s="80"/>
    </row>
    <row r="34" spans="1:11" customFormat="1" ht="15" customHeight="1" x14ac:dyDescent="0.25">
      <c r="A34" s="951"/>
      <c r="B34" s="953"/>
      <c r="C34" s="1104" t="s">
        <v>131</v>
      </c>
      <c r="D34" s="917"/>
      <c r="E34" s="1104" t="s">
        <v>301</v>
      </c>
      <c r="F34" s="917"/>
      <c r="G34" s="60"/>
    </row>
    <row r="35" spans="1:11" customFormat="1" ht="24" customHeight="1" thickBot="1" x14ac:dyDescent="0.3">
      <c r="A35" s="954"/>
      <c r="B35" s="956"/>
      <c r="C35" s="1105">
        <v>40999</v>
      </c>
      <c r="D35" s="1101"/>
      <c r="E35" s="1100" t="str">
        <f>'Løntabel gældende fra'!D1</f>
        <v>01/04/24</v>
      </c>
      <c r="F35" s="1101"/>
      <c r="G35" s="60"/>
    </row>
    <row r="36" spans="1:11" customFormat="1" ht="24" customHeight="1" thickBot="1" x14ac:dyDescent="0.3">
      <c r="A36" s="1145" t="s">
        <v>115</v>
      </c>
      <c r="B36" s="1146"/>
      <c r="C36" s="1141" t="s">
        <v>224</v>
      </c>
      <c r="D36" s="1142"/>
      <c r="E36" s="1114" t="s">
        <v>224</v>
      </c>
      <c r="F36" s="1103"/>
      <c r="G36" s="60"/>
    </row>
    <row r="37" spans="1:11" customFormat="1" ht="21.95" customHeight="1" x14ac:dyDescent="0.3">
      <c r="A37" s="1157" t="s">
        <v>335</v>
      </c>
      <c r="B37" s="1158"/>
      <c r="C37" s="1161">
        <v>353412</v>
      </c>
      <c r="D37" s="1162"/>
      <c r="E37" s="1161">
        <f>C37+C37*'Løntabel gældende fra'!$D$7%</f>
        <v>434013.614604</v>
      </c>
      <c r="F37" s="1162"/>
      <c r="G37" s="53"/>
      <c r="H37" s="67"/>
    </row>
    <row r="38" spans="1:11" s="57" customFormat="1" ht="23.1" customHeight="1" thickBot="1" x14ac:dyDescent="0.35">
      <c r="A38" s="1159" t="s">
        <v>118</v>
      </c>
      <c r="B38" s="1160"/>
      <c r="C38" s="1163">
        <v>396929</v>
      </c>
      <c r="D38" s="1164"/>
      <c r="E38" s="1174">
        <f>C38+C38*'Løntabel gældende fra'!$D$7%</f>
        <v>487455.406243</v>
      </c>
      <c r="F38" s="1175"/>
      <c r="G38" s="53"/>
      <c r="H38" s="67"/>
      <c r="I38" s="67"/>
      <c r="J38" s="67"/>
      <c r="K38" s="67"/>
    </row>
    <row r="39" spans="1:11" s="57" customFormat="1" ht="6.95" customHeight="1" x14ac:dyDescent="0.3">
      <c r="A39" s="1176"/>
      <c r="B39" s="1176"/>
      <c r="C39" s="1176"/>
      <c r="D39" s="1176"/>
      <c r="E39" s="1176"/>
      <c r="F39" s="118"/>
      <c r="G39" s="67"/>
      <c r="H39" s="67"/>
      <c r="I39" s="67"/>
      <c r="J39" s="67"/>
      <c r="K39" s="67"/>
    </row>
    <row r="40" spans="1:11" s="57" customFormat="1" ht="54" customHeight="1" thickBot="1" x14ac:dyDescent="0.35">
      <c r="A40" s="589"/>
      <c r="B40" s="590"/>
      <c r="C40" s="589"/>
      <c r="D40" s="591"/>
      <c r="E40" s="591"/>
      <c r="F40" s="591"/>
      <c r="G40" s="67"/>
      <c r="H40" s="67"/>
      <c r="I40" s="67"/>
      <c r="J40" s="67"/>
      <c r="K40" s="67"/>
    </row>
    <row r="41" spans="1:11" s="57" customFormat="1" ht="21" thickBot="1" x14ac:dyDescent="0.35">
      <c r="A41" s="1165" t="s">
        <v>163</v>
      </c>
      <c r="B41" s="1166"/>
      <c r="C41" s="1166"/>
      <c r="D41" s="1166"/>
      <c r="E41" s="1166"/>
      <c r="F41" s="1166"/>
      <c r="G41" s="1167"/>
      <c r="H41" s="67"/>
      <c r="I41" s="67"/>
      <c r="J41" s="67"/>
      <c r="K41" s="67"/>
    </row>
    <row r="42" spans="1:11" s="57" customFormat="1" ht="50.1" customHeight="1" x14ac:dyDescent="0.3">
      <c r="A42" s="918" t="s">
        <v>358</v>
      </c>
      <c r="B42" s="1168" t="s">
        <v>367</v>
      </c>
      <c r="C42" s="1169"/>
      <c r="D42" s="1170"/>
      <c r="E42" s="311" t="s">
        <v>131</v>
      </c>
      <c r="F42" s="587" t="s">
        <v>301</v>
      </c>
      <c r="G42" s="505"/>
      <c r="H42" s="67"/>
      <c r="I42" s="67"/>
      <c r="J42" s="67"/>
      <c r="K42" s="67"/>
    </row>
    <row r="43" spans="1:11" s="57" customFormat="1" ht="21" thickBot="1" x14ac:dyDescent="0.35">
      <c r="A43" s="919"/>
      <c r="B43" s="1171"/>
      <c r="C43" s="1172"/>
      <c r="D43" s="1173"/>
      <c r="E43" s="637">
        <v>40999</v>
      </c>
      <c r="F43" s="638" t="str">
        <f>'Løntabel gældende fra'!$D$1</f>
        <v>01/04/24</v>
      </c>
      <c r="G43" s="506"/>
      <c r="H43" s="67"/>
      <c r="I43" s="67"/>
      <c r="J43" s="67"/>
      <c r="K43" s="67"/>
    </row>
    <row r="44" spans="1:11" s="57" customFormat="1" ht="33.950000000000003" customHeight="1" thickBot="1" x14ac:dyDescent="0.35">
      <c r="A44" s="1027"/>
      <c r="B44" s="1154" t="s">
        <v>366</v>
      </c>
      <c r="C44" s="1155"/>
      <c r="D44" s="1156"/>
      <c r="E44" s="508">
        <v>130000</v>
      </c>
      <c r="F44" s="509">
        <f>E44+E44*'Løntabel gældende fra'!$D$7%</f>
        <v>159648.71</v>
      </c>
      <c r="G44" s="507"/>
      <c r="H44" s="67"/>
      <c r="I44" s="67"/>
      <c r="J44" s="67"/>
      <c r="K44" s="67"/>
    </row>
    <row r="45" spans="1:11" s="57" customFormat="1" ht="21" thickBot="1" x14ac:dyDescent="0.35">
      <c r="A45" s="205" t="s">
        <v>359</v>
      </c>
      <c r="B45" s="1151" t="s">
        <v>336</v>
      </c>
      <c r="C45" s="1152"/>
      <c r="D45" s="1152"/>
      <c r="E45" s="1152"/>
      <c r="F45" s="1152"/>
      <c r="G45" s="1153"/>
      <c r="H45" s="77"/>
      <c r="I45" s="67"/>
      <c r="J45" s="67"/>
      <c r="K45" s="67"/>
    </row>
    <row r="46" spans="1:11" ht="36" customHeight="1" thickBot="1" x14ac:dyDescent="0.35">
      <c r="A46" s="57"/>
      <c r="B46" s="73"/>
      <c r="C46" s="57"/>
      <c r="D46" s="117"/>
      <c r="E46" s="117"/>
      <c r="F46" s="117"/>
      <c r="G46" s="67"/>
      <c r="H46" s="78"/>
    </row>
    <row r="47" spans="1:11" ht="33.950000000000003" customHeight="1" x14ac:dyDescent="0.3">
      <c r="A47" s="1115" t="s">
        <v>377</v>
      </c>
      <c r="B47" s="1116"/>
      <c r="C47" s="1116"/>
      <c r="D47" s="1116"/>
      <c r="E47" s="1116"/>
      <c r="F47" s="1116"/>
      <c r="G47" s="1117"/>
      <c r="H47" s="78"/>
    </row>
    <row r="48" spans="1:11" s="57" customFormat="1" ht="26.1" customHeight="1" thickBot="1" x14ac:dyDescent="0.35">
      <c r="A48" s="1097" t="str">
        <f>'Løntabel gældende fra'!$D$1</f>
        <v>01/04/24</v>
      </c>
      <c r="B48" s="1098"/>
      <c r="C48" s="1098"/>
      <c r="D48" s="1098"/>
      <c r="E48" s="1098"/>
      <c r="F48" s="1098"/>
      <c r="G48" s="1178"/>
      <c r="H48" s="78"/>
    </row>
    <row r="49" spans="1:8" s="57" customFormat="1" ht="26.1" customHeight="1" x14ac:dyDescent="0.3">
      <c r="A49" s="1127" t="s">
        <v>88</v>
      </c>
      <c r="B49" s="1128"/>
      <c r="C49" s="1128"/>
      <c r="D49" s="1128"/>
      <c r="E49" s="1128"/>
      <c r="F49" s="1129"/>
      <c r="G49" s="775"/>
      <c r="H49" s="78"/>
    </row>
    <row r="50" spans="1:8" s="57" customFormat="1" ht="32.1" customHeight="1" x14ac:dyDescent="0.3">
      <c r="A50" s="1182" t="s">
        <v>379</v>
      </c>
      <c r="B50" s="1183"/>
      <c r="C50" s="1183"/>
      <c r="D50" s="1183"/>
      <c r="E50" s="1183"/>
      <c r="F50" s="1184"/>
      <c r="G50" s="776"/>
      <c r="H50" s="78"/>
    </row>
    <row r="51" spans="1:8" s="57" customFormat="1" ht="30" customHeight="1" x14ac:dyDescent="0.3">
      <c r="A51" s="1130" t="s">
        <v>378</v>
      </c>
      <c r="B51" s="1130"/>
      <c r="C51" s="1130"/>
      <c r="D51" s="1130"/>
      <c r="E51" s="1130"/>
      <c r="F51" s="1130"/>
      <c r="G51" s="776"/>
      <c r="H51" s="78"/>
    </row>
    <row r="52" spans="1:8" s="57" customFormat="1" ht="47.1" customHeight="1" x14ac:dyDescent="0.3">
      <c r="A52" s="1179" t="s">
        <v>125</v>
      </c>
      <c r="B52" s="1179"/>
      <c r="C52" s="1179"/>
      <c r="D52" s="1179"/>
      <c r="E52" s="1179"/>
      <c r="F52" s="1179"/>
      <c r="G52" s="1179"/>
      <c r="H52" s="78"/>
    </row>
    <row r="53" spans="1:8" s="57" customFormat="1" ht="14.1" customHeight="1" x14ac:dyDescent="0.3">
      <c r="A53" s="82"/>
      <c r="B53" s="82"/>
      <c r="C53" s="82"/>
      <c r="D53" s="82"/>
      <c r="E53" s="82"/>
      <c r="F53" s="82"/>
      <c r="G53" s="82"/>
      <c r="H53" s="78"/>
    </row>
    <row r="54" spans="1:8" s="57" customFormat="1" ht="14.1" customHeight="1" x14ac:dyDescent="0.3">
      <c r="A54" s="1130" t="s">
        <v>126</v>
      </c>
      <c r="B54" s="1180" t="s">
        <v>420</v>
      </c>
      <c r="C54" s="1180"/>
      <c r="D54" s="1180"/>
      <c r="E54" s="1180"/>
      <c r="F54" s="1180"/>
      <c r="G54" s="1180"/>
      <c r="H54" s="78"/>
    </row>
    <row r="55" spans="1:8" s="57" customFormat="1" ht="14.1" customHeight="1" x14ac:dyDescent="0.3">
      <c r="A55" s="1130"/>
      <c r="B55" s="81" t="s">
        <v>421</v>
      </c>
      <c r="C55" s="492"/>
      <c r="D55" s="492"/>
      <c r="E55" s="492"/>
      <c r="F55" s="492"/>
      <c r="G55" s="492"/>
      <c r="H55" s="78"/>
    </row>
    <row r="56" spans="1:8" s="57" customFormat="1" ht="14.1" customHeight="1" x14ac:dyDescent="0.3">
      <c r="A56" s="1130"/>
      <c r="B56" s="1180" t="s">
        <v>422</v>
      </c>
      <c r="C56" s="1180"/>
      <c r="D56" s="1180"/>
      <c r="E56" s="1180"/>
      <c r="F56" s="1180"/>
      <c r="G56" s="1180"/>
      <c r="H56" s="78"/>
    </row>
    <row r="57" spans="1:8" s="57" customFormat="1" ht="14.1" customHeight="1" x14ac:dyDescent="0.3">
      <c r="A57" s="83"/>
      <c r="B57" s="1180"/>
      <c r="C57" s="1180"/>
      <c r="D57" s="1180"/>
      <c r="E57" s="1180"/>
      <c r="F57" s="1180"/>
      <c r="G57" s="1180"/>
      <c r="H57" s="78"/>
    </row>
    <row r="58" spans="1:8" s="57" customFormat="1" ht="14.1" customHeight="1" x14ac:dyDescent="0.3">
      <c r="A58" s="83"/>
      <c r="B58" s="492"/>
      <c r="C58" s="492"/>
      <c r="D58" s="492"/>
      <c r="E58" s="492"/>
      <c r="F58" s="492"/>
      <c r="G58" s="492"/>
      <c r="H58" s="78"/>
    </row>
    <row r="59" spans="1:8" s="57" customFormat="1" ht="14.1" customHeight="1" x14ac:dyDescent="0.3">
      <c r="A59" s="1130" t="s">
        <v>127</v>
      </c>
      <c r="B59" s="1180" t="s">
        <v>423</v>
      </c>
      <c r="C59" s="1180"/>
      <c r="D59" s="1180"/>
      <c r="E59" s="1180"/>
      <c r="F59" s="1180"/>
      <c r="G59" s="1180"/>
      <c r="H59" s="78"/>
    </row>
    <row r="60" spans="1:8" s="57" customFormat="1" ht="14.1" customHeight="1" x14ac:dyDescent="0.3">
      <c r="A60" s="1130"/>
      <c r="B60" s="81" t="s">
        <v>424</v>
      </c>
      <c r="C60" s="492"/>
      <c r="D60" s="492"/>
      <c r="E60" s="492"/>
      <c r="F60" s="492"/>
      <c r="G60" s="492"/>
      <c r="H60" s="78"/>
    </row>
    <row r="61" spans="1:8" s="57" customFormat="1" ht="14.1" customHeight="1" x14ac:dyDescent="0.3">
      <c r="A61" s="1130"/>
      <c r="B61" s="1180" t="s">
        <v>425</v>
      </c>
      <c r="C61" s="1180"/>
      <c r="D61" s="1180"/>
      <c r="E61" s="1180"/>
      <c r="F61" s="1180"/>
      <c r="G61" s="1180"/>
      <c r="H61" s="78"/>
    </row>
    <row r="62" spans="1:8" s="57" customFormat="1" ht="12" customHeight="1" x14ac:dyDescent="0.25">
      <c r="A62" s="83"/>
      <c r="B62" s="1180"/>
      <c r="C62" s="1180"/>
      <c r="D62" s="1180"/>
      <c r="E62" s="1180"/>
      <c r="F62" s="1180"/>
      <c r="G62" s="1180"/>
      <c r="H62" s="2"/>
    </row>
    <row r="63" spans="1:8" ht="18" customHeight="1" thickBot="1" x14ac:dyDescent="0.35">
      <c r="A63" s="67"/>
      <c r="B63" s="67"/>
      <c r="C63" s="67"/>
      <c r="D63" s="67"/>
      <c r="E63" s="67"/>
      <c r="F63" s="67"/>
      <c r="G63" s="67"/>
    </row>
    <row r="64" spans="1:8" ht="18" customHeight="1" x14ac:dyDescent="0.25">
      <c r="A64" s="918" t="s">
        <v>57</v>
      </c>
      <c r="B64" s="889" t="s">
        <v>23</v>
      </c>
      <c r="C64" s="948"/>
      <c r="D64" s="889" t="s">
        <v>24</v>
      </c>
      <c r="E64" s="948"/>
      <c r="F64" s="577" t="s">
        <v>304</v>
      </c>
      <c r="G64" s="918" t="s">
        <v>95</v>
      </c>
    </row>
    <row r="65" spans="1:8" ht="18.95" customHeight="1" thickBot="1" x14ac:dyDescent="0.3">
      <c r="A65" s="919"/>
      <c r="B65" s="580">
        <v>40999</v>
      </c>
      <c r="C65" s="581"/>
      <c r="D65" s="904" t="str">
        <f>'Løntabel gældende fra'!$D$1</f>
        <v>01/04/24</v>
      </c>
      <c r="E65" s="1181"/>
      <c r="F65" s="578" t="str">
        <f>'Løntabel gældende fra'!$D$1</f>
        <v>01/04/24</v>
      </c>
      <c r="G65" s="919"/>
      <c r="H65" s="45"/>
    </row>
    <row r="66" spans="1:8" ht="14.1" customHeight="1" thickBot="1" x14ac:dyDescent="0.3">
      <c r="A66" s="919"/>
      <c r="B66" s="582" t="s">
        <v>86</v>
      </c>
      <c r="C66" s="579" t="s">
        <v>161</v>
      </c>
      <c r="D66" s="305" t="s">
        <v>86</v>
      </c>
      <c r="E66" s="389" t="s">
        <v>161</v>
      </c>
      <c r="F66" s="389" t="s">
        <v>161</v>
      </c>
      <c r="G66" s="310">
        <v>0.15</v>
      </c>
    </row>
    <row r="67" spans="1:8" x14ac:dyDescent="0.25">
      <c r="A67" s="338">
        <v>31</v>
      </c>
      <c r="B67" s="403">
        <f>+'Statens skalatrin'!N96</f>
        <v>290512.64000000001</v>
      </c>
      <c r="C67" s="403">
        <f>ROUND(B67/12,2)</f>
        <v>24209.39</v>
      </c>
      <c r="D67" s="404">
        <f>ROUND(B67*(1+'Løntabel gældende fra'!$D$7/100),0)</f>
        <v>356769</v>
      </c>
      <c r="E67" s="747">
        <f>ROUND(D67/12,2)</f>
        <v>29730.75</v>
      </c>
      <c r="F67" s="748">
        <f>ROUND(E67*15%,2)</f>
        <v>4459.6099999999997</v>
      </c>
      <c r="G67" s="405">
        <f>F67*$G$66</f>
        <v>668.94149999999991</v>
      </c>
    </row>
    <row r="68" spans="1:8" x14ac:dyDescent="0.25">
      <c r="A68" s="399">
        <v>32</v>
      </c>
      <c r="B68" s="181">
        <f>+'Statens skalatrin'!N99</f>
        <v>296125.21000000002</v>
      </c>
      <c r="C68" s="585">
        <f t="shared" ref="C68:C86" si="0">ROUND(B68/12,2)</f>
        <v>24677.1</v>
      </c>
      <c r="D68" s="583">
        <f>ROUND(B68*(1+'Løntabel gældende fra'!$D$7/100),0)</f>
        <v>363662</v>
      </c>
      <c r="E68" s="749">
        <f t="shared" ref="E68:E86" si="1">ROUND(D68/12,2)</f>
        <v>30305.17</v>
      </c>
      <c r="F68" s="740">
        <f t="shared" ref="F68:F86" si="2">ROUND(E68*15%,2)</f>
        <v>4545.78</v>
      </c>
      <c r="G68" s="180">
        <f t="shared" ref="G68:G86" si="3">F68*$G$66</f>
        <v>681.86699999999996</v>
      </c>
    </row>
    <row r="69" spans="1:8" x14ac:dyDescent="0.25">
      <c r="A69" s="399">
        <v>33</v>
      </c>
      <c r="B69" s="181">
        <f>+'Statens skalatrin'!N102</f>
        <v>301881.8</v>
      </c>
      <c r="C69" s="585">
        <f t="shared" si="0"/>
        <v>25156.82</v>
      </c>
      <c r="D69" s="583">
        <f>ROUND(B69*(1+'Løntabel gældende fra'!$D$7/100),0)</f>
        <v>370731</v>
      </c>
      <c r="E69" s="749">
        <f t="shared" si="1"/>
        <v>30894.25</v>
      </c>
      <c r="F69" s="740">
        <f t="shared" si="2"/>
        <v>4634.1400000000003</v>
      </c>
      <c r="G69" s="180">
        <f t="shared" si="3"/>
        <v>695.12099999999998</v>
      </c>
    </row>
    <row r="70" spans="1:8" x14ac:dyDescent="0.25">
      <c r="A70" s="399">
        <v>34</v>
      </c>
      <c r="B70" s="181">
        <f>+'Statens skalatrin'!N105</f>
        <v>307790.62</v>
      </c>
      <c r="C70" s="585">
        <f t="shared" si="0"/>
        <v>25649.22</v>
      </c>
      <c r="D70" s="583">
        <f>ROUND(B70*(1+'Løntabel gældende fra'!$D$7/100),0)</f>
        <v>377988</v>
      </c>
      <c r="E70" s="749">
        <f t="shared" si="1"/>
        <v>31499</v>
      </c>
      <c r="F70" s="740">
        <f t="shared" si="2"/>
        <v>4724.8500000000004</v>
      </c>
      <c r="G70" s="180">
        <f t="shared" si="3"/>
        <v>708.72750000000008</v>
      </c>
    </row>
    <row r="71" spans="1:8" x14ac:dyDescent="0.25">
      <c r="A71" s="399">
        <v>35</v>
      </c>
      <c r="B71" s="181">
        <f>+'Statens skalatrin'!N108</f>
        <v>313854.56</v>
      </c>
      <c r="C71" s="585">
        <f t="shared" si="0"/>
        <v>26154.55</v>
      </c>
      <c r="D71" s="583">
        <f>ROUND(B71*(1+'Løntabel gældende fra'!$D$7/100),0)</f>
        <v>385434</v>
      </c>
      <c r="E71" s="749">
        <f t="shared" si="1"/>
        <v>32119.5</v>
      </c>
      <c r="F71" s="740">
        <f t="shared" si="2"/>
        <v>4817.93</v>
      </c>
      <c r="G71" s="180">
        <f t="shared" si="3"/>
        <v>722.68950000000007</v>
      </c>
    </row>
    <row r="72" spans="1:8" x14ac:dyDescent="0.25">
      <c r="A72" s="399">
        <v>36</v>
      </c>
      <c r="B72" s="181">
        <f>+'Statens skalatrin'!N111</f>
        <v>320074.68</v>
      </c>
      <c r="C72" s="585">
        <f t="shared" si="0"/>
        <v>26672.89</v>
      </c>
      <c r="D72" s="583">
        <f>ROUND(B72*(1+'Løntabel gældende fra'!$D$7/100),0)</f>
        <v>393073</v>
      </c>
      <c r="E72" s="749">
        <f t="shared" si="1"/>
        <v>32756.080000000002</v>
      </c>
      <c r="F72" s="740">
        <f t="shared" si="2"/>
        <v>4913.41</v>
      </c>
      <c r="G72" s="180">
        <f t="shared" si="3"/>
        <v>737.01149999999996</v>
      </c>
    </row>
    <row r="73" spans="1:8" x14ac:dyDescent="0.25">
      <c r="A73" s="399">
        <v>37</v>
      </c>
      <c r="B73" s="181">
        <f>+'Statens skalatrin'!N114</f>
        <v>326457.34000000003</v>
      </c>
      <c r="C73" s="585">
        <f t="shared" si="0"/>
        <v>27204.78</v>
      </c>
      <c r="D73" s="583">
        <f>ROUND(B73*(1+'Løntabel gældende fra'!$D$7/100),0)</f>
        <v>400911</v>
      </c>
      <c r="E73" s="749">
        <f t="shared" si="1"/>
        <v>33409.25</v>
      </c>
      <c r="F73" s="740">
        <f t="shared" si="2"/>
        <v>5011.3900000000003</v>
      </c>
      <c r="G73" s="180">
        <f t="shared" si="3"/>
        <v>751.70850000000007</v>
      </c>
    </row>
    <row r="74" spans="1:8" x14ac:dyDescent="0.25">
      <c r="A74" s="399">
        <v>38</v>
      </c>
      <c r="B74" s="181">
        <f>+'Statens skalatrin'!N117</f>
        <v>333128.88</v>
      </c>
      <c r="C74" s="585">
        <f t="shared" si="0"/>
        <v>27760.74</v>
      </c>
      <c r="D74" s="583">
        <f>ROUND(B74*(1+'Løntabel gældende fra'!$D$7/100),0)</f>
        <v>409105</v>
      </c>
      <c r="E74" s="749">
        <f t="shared" si="1"/>
        <v>34092.080000000002</v>
      </c>
      <c r="F74" s="740">
        <f t="shared" si="2"/>
        <v>5113.8100000000004</v>
      </c>
      <c r="G74" s="180">
        <f t="shared" si="3"/>
        <v>767.07150000000001</v>
      </c>
    </row>
    <row r="75" spans="1:8" x14ac:dyDescent="0.25">
      <c r="A75" s="399">
        <v>39</v>
      </c>
      <c r="B75" s="181">
        <f>+'Statens skalatrin'!N120</f>
        <v>339989.41</v>
      </c>
      <c r="C75" s="585">
        <f t="shared" si="0"/>
        <v>28332.45</v>
      </c>
      <c r="D75" s="583">
        <f>ROUND(B75*(1+'Løntabel gældende fra'!$D$7/100),0)</f>
        <v>417530</v>
      </c>
      <c r="E75" s="749">
        <f t="shared" si="1"/>
        <v>34794.17</v>
      </c>
      <c r="F75" s="740">
        <f t="shared" si="2"/>
        <v>5219.13</v>
      </c>
      <c r="G75" s="180">
        <f t="shared" si="3"/>
        <v>782.86950000000002</v>
      </c>
    </row>
    <row r="76" spans="1:8" x14ac:dyDescent="0.25">
      <c r="A76" s="399">
        <v>40</v>
      </c>
      <c r="B76" s="181">
        <f>+'Statens skalatrin'!N123</f>
        <v>347027.46</v>
      </c>
      <c r="C76" s="585">
        <f t="shared" si="0"/>
        <v>28918.959999999999</v>
      </c>
      <c r="D76" s="583">
        <f>ROUND(B76*(1+'Løntabel gældende fra'!$D$7/100),0)</f>
        <v>426173</v>
      </c>
      <c r="E76" s="749">
        <f t="shared" si="1"/>
        <v>35514.42</v>
      </c>
      <c r="F76" s="740">
        <f t="shared" si="2"/>
        <v>5327.16</v>
      </c>
      <c r="G76" s="180">
        <f t="shared" si="3"/>
        <v>799.07399999999996</v>
      </c>
    </row>
    <row r="77" spans="1:8" x14ac:dyDescent="0.25">
      <c r="A77" s="399">
        <v>41</v>
      </c>
      <c r="B77" s="181">
        <f>+'Statens skalatrin'!N126</f>
        <v>354249.23</v>
      </c>
      <c r="C77" s="585">
        <f t="shared" si="0"/>
        <v>29520.77</v>
      </c>
      <c r="D77" s="583">
        <f>ROUND(B77*(1+'Løntabel gældende fra'!$D$7/100),0)</f>
        <v>435042</v>
      </c>
      <c r="E77" s="749">
        <f t="shared" si="1"/>
        <v>36253.5</v>
      </c>
      <c r="F77" s="740">
        <f t="shared" si="2"/>
        <v>5438.03</v>
      </c>
      <c r="G77" s="180">
        <f t="shared" si="3"/>
        <v>815.70449999999994</v>
      </c>
    </row>
    <row r="78" spans="1:8" x14ac:dyDescent="0.25">
      <c r="A78" s="399">
        <v>42</v>
      </c>
      <c r="B78" s="181">
        <f>+'Statens skalatrin'!N129</f>
        <v>361659.2</v>
      </c>
      <c r="C78" s="585">
        <f t="shared" si="0"/>
        <v>30138.27</v>
      </c>
      <c r="D78" s="583">
        <f>ROUND(B78*(1+'Løntabel gældende fra'!$D$7/100),0)</f>
        <v>444142</v>
      </c>
      <c r="E78" s="749">
        <f t="shared" si="1"/>
        <v>37011.83</v>
      </c>
      <c r="F78" s="740">
        <f t="shared" si="2"/>
        <v>5551.77</v>
      </c>
      <c r="G78" s="180">
        <f t="shared" si="3"/>
        <v>832.76550000000009</v>
      </c>
    </row>
    <row r="79" spans="1:8" x14ac:dyDescent="0.25">
      <c r="A79" s="399">
        <v>43</v>
      </c>
      <c r="B79" s="181">
        <f>+'Statens skalatrin'!N132</f>
        <v>369688.53</v>
      </c>
      <c r="C79" s="585">
        <f t="shared" si="0"/>
        <v>30807.38</v>
      </c>
      <c r="D79" s="583">
        <f>ROUND(B79*(1+'Løntabel gældende fra'!$D$7/100),0)</f>
        <v>454002</v>
      </c>
      <c r="E79" s="749">
        <f t="shared" si="1"/>
        <v>37833.5</v>
      </c>
      <c r="F79" s="740">
        <f t="shared" si="2"/>
        <v>5675.03</v>
      </c>
      <c r="G79" s="180">
        <f t="shared" si="3"/>
        <v>851.25449999999989</v>
      </c>
    </row>
    <row r="80" spans="1:8" x14ac:dyDescent="0.25">
      <c r="A80" s="399">
        <v>44</v>
      </c>
      <c r="B80" s="181">
        <f>+'Statens skalatrin'!N135</f>
        <v>377937.3</v>
      </c>
      <c r="C80" s="585">
        <f t="shared" si="0"/>
        <v>31494.78</v>
      </c>
      <c r="D80" s="583">
        <f>ROUND(B80*(1+'Løntabel gældende fra'!$D$7/100),0)</f>
        <v>464132</v>
      </c>
      <c r="E80" s="749">
        <f t="shared" si="1"/>
        <v>38677.67</v>
      </c>
      <c r="F80" s="740">
        <f t="shared" si="2"/>
        <v>5801.65</v>
      </c>
      <c r="G80" s="180">
        <f t="shared" si="3"/>
        <v>870.24749999999995</v>
      </c>
      <c r="H80" s="57"/>
    </row>
    <row r="81" spans="1:8" s="57" customFormat="1" x14ac:dyDescent="0.25">
      <c r="A81" s="399">
        <v>45</v>
      </c>
      <c r="B81" s="181">
        <f>+'Statens skalatrin'!N138</f>
        <v>386414.29</v>
      </c>
      <c r="C81" s="585">
        <f t="shared" si="0"/>
        <v>32201.19</v>
      </c>
      <c r="D81" s="583">
        <f>ROUND(B81*(1+'Løntabel gældende fra'!$D$7/100),0)</f>
        <v>474543</v>
      </c>
      <c r="E81" s="749">
        <f t="shared" si="1"/>
        <v>39545.25</v>
      </c>
      <c r="F81" s="740">
        <f t="shared" si="2"/>
        <v>5931.79</v>
      </c>
      <c r="G81" s="180">
        <f t="shared" si="3"/>
        <v>889.76850000000002</v>
      </c>
    </row>
    <row r="82" spans="1:8" s="57" customFormat="1" x14ac:dyDescent="0.25">
      <c r="A82" s="399">
        <v>46</v>
      </c>
      <c r="B82" s="181">
        <f>+'Statens skalatrin'!N141</f>
        <v>395124.74</v>
      </c>
      <c r="C82" s="585">
        <f t="shared" si="0"/>
        <v>32927.06</v>
      </c>
      <c r="D82" s="583">
        <f>ROUND(B82*(1+'Løntabel gældende fra'!$D$7/100),0)</f>
        <v>485240</v>
      </c>
      <c r="E82" s="749">
        <f t="shared" si="1"/>
        <v>40436.67</v>
      </c>
      <c r="F82" s="740">
        <f t="shared" si="2"/>
        <v>6065.5</v>
      </c>
      <c r="G82" s="180">
        <f t="shared" si="3"/>
        <v>909.82499999999993</v>
      </c>
    </row>
    <row r="83" spans="1:8" s="57" customFormat="1" x14ac:dyDescent="0.25">
      <c r="A83" s="399">
        <v>47</v>
      </c>
      <c r="B83" s="181">
        <f>+'Statens skalatrin'!N144</f>
        <v>413268.87</v>
      </c>
      <c r="C83" s="585">
        <f t="shared" si="0"/>
        <v>34439.07</v>
      </c>
      <c r="D83" s="583">
        <f>ROUND(B83*(1+'Løntabel gældende fra'!$D$7/100),0)</f>
        <v>507522</v>
      </c>
      <c r="E83" s="749">
        <f t="shared" si="1"/>
        <v>42293.5</v>
      </c>
      <c r="F83" s="740">
        <f t="shared" si="2"/>
        <v>6344.03</v>
      </c>
      <c r="G83" s="180">
        <f t="shared" si="3"/>
        <v>951.60449999999992</v>
      </c>
      <c r="H83" s="2"/>
    </row>
    <row r="84" spans="1:8" x14ac:dyDescent="0.25">
      <c r="A84" s="399">
        <v>48</v>
      </c>
      <c r="B84" s="181">
        <f>+'Statens skalatrin'!N147</f>
        <v>441025.75</v>
      </c>
      <c r="C84" s="585">
        <f t="shared" si="0"/>
        <v>36752.15</v>
      </c>
      <c r="D84" s="583">
        <f>ROUND(B84*(1+'Løntabel gældende fra'!$D$7/100),0)</f>
        <v>541609</v>
      </c>
      <c r="E84" s="749">
        <f t="shared" si="1"/>
        <v>45134.080000000002</v>
      </c>
      <c r="F84" s="740">
        <f t="shared" si="2"/>
        <v>6770.11</v>
      </c>
      <c r="G84" s="180">
        <f t="shared" si="3"/>
        <v>1015.5165</v>
      </c>
    </row>
    <row r="85" spans="1:8" ht="15" customHeight="1" x14ac:dyDescent="0.25">
      <c r="A85" s="399">
        <v>49</v>
      </c>
      <c r="B85" s="181">
        <f>+'Statens skalatrin'!N150</f>
        <v>471780.9</v>
      </c>
      <c r="C85" s="585">
        <f t="shared" si="0"/>
        <v>39315.08</v>
      </c>
      <c r="D85" s="583">
        <f>ROUND(B85*(1+'Løntabel gældende fra'!$D$7/100),0)</f>
        <v>579379</v>
      </c>
      <c r="E85" s="749">
        <f t="shared" si="1"/>
        <v>48281.58</v>
      </c>
      <c r="F85" s="740">
        <f t="shared" si="2"/>
        <v>7242.24</v>
      </c>
      <c r="G85" s="180">
        <f t="shared" si="3"/>
        <v>1086.336</v>
      </c>
    </row>
    <row r="86" spans="1:8" ht="15.95" customHeight="1" thickBot="1" x14ac:dyDescent="0.3">
      <c r="A86" s="340">
        <v>50</v>
      </c>
      <c r="B86" s="161">
        <f>+'Statens skalatrin'!N153</f>
        <v>521094.47</v>
      </c>
      <c r="C86" s="586">
        <f t="shared" si="0"/>
        <v>43424.54</v>
      </c>
      <c r="D86" s="584">
        <f>ROUND(B86*(1+'Løntabel gældende fra'!$D$7/100),0)</f>
        <v>639939</v>
      </c>
      <c r="E86" s="750">
        <f t="shared" si="1"/>
        <v>53328.25</v>
      </c>
      <c r="F86" s="741">
        <f t="shared" si="2"/>
        <v>7999.24</v>
      </c>
      <c r="G86" s="335">
        <f t="shared" si="3"/>
        <v>1199.886</v>
      </c>
      <c r="H86" s="57"/>
    </row>
    <row r="87" spans="1:8" s="57" customFormat="1" ht="57" customHeight="1" x14ac:dyDescent="0.25">
      <c r="A87" s="1177" t="s">
        <v>213</v>
      </c>
      <c r="B87" s="1177"/>
      <c r="C87" s="1177"/>
      <c r="D87" s="1177"/>
      <c r="E87" s="1177"/>
      <c r="F87" s="1177"/>
      <c r="G87" s="1177"/>
    </row>
    <row r="88" spans="1:8" s="57" customFormat="1" ht="15" customHeight="1" x14ac:dyDescent="0.25">
      <c r="A88" s="56"/>
      <c r="B88" s="56"/>
      <c r="C88" s="56"/>
      <c r="D88" s="56"/>
      <c r="E88" s="56"/>
      <c r="F88" s="56"/>
      <c r="G88" s="56"/>
      <c r="H88" s="2"/>
    </row>
    <row r="89" spans="1:8" x14ac:dyDescent="0.25">
      <c r="A89" s="1113"/>
      <c r="B89" s="1113"/>
      <c r="C89" s="1113"/>
      <c r="D89" s="1113"/>
      <c r="E89" s="1113"/>
      <c r="F89" s="1113"/>
      <c r="G89" s="1113"/>
    </row>
    <row r="90" spans="1:8" x14ac:dyDescent="0.25">
      <c r="A90" s="7"/>
      <c r="B90" s="7"/>
      <c r="C90" s="7"/>
      <c r="D90" s="7"/>
      <c r="E90" s="7"/>
      <c r="F90" s="7"/>
      <c r="G90" s="7"/>
    </row>
    <row r="91" spans="1:8" x14ac:dyDescent="0.25">
      <c r="A91" s="7"/>
      <c r="B91" s="7"/>
      <c r="C91" s="7"/>
      <c r="D91" s="7"/>
      <c r="E91" s="7"/>
      <c r="F91" s="7"/>
      <c r="G91" s="7"/>
    </row>
    <row r="92" spans="1:8" x14ac:dyDescent="0.25">
      <c r="A92" s="7"/>
      <c r="B92" s="7"/>
      <c r="C92" s="7"/>
      <c r="D92" s="7"/>
      <c r="E92" s="7"/>
      <c r="F92" s="7"/>
      <c r="G92" s="7"/>
    </row>
    <row r="93" spans="1:8" x14ac:dyDescent="0.25">
      <c r="A93" s="7"/>
      <c r="B93" s="7"/>
      <c r="C93" s="7"/>
      <c r="D93" s="7"/>
      <c r="E93" s="7"/>
      <c r="F93" s="7"/>
      <c r="G93" s="7"/>
    </row>
    <row r="94" spans="1:8" x14ac:dyDescent="0.25">
      <c r="A94" s="7"/>
      <c r="B94" s="7"/>
      <c r="C94" s="7"/>
      <c r="D94" s="7"/>
      <c r="E94" s="7"/>
      <c r="F94" s="7"/>
      <c r="G94" s="7"/>
    </row>
    <row r="95" spans="1:8" x14ac:dyDescent="0.25">
      <c r="A95" s="7"/>
      <c r="B95" s="7"/>
      <c r="C95" s="7"/>
      <c r="D95" s="7"/>
      <c r="E95" s="7"/>
      <c r="F95" s="7"/>
      <c r="G95" s="7"/>
    </row>
    <row r="96" spans="1:8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</sheetData>
  <sheetProtection sheet="1" objects="1" scenarios="1"/>
  <mergeCells count="69">
    <mergeCell ref="A87:G87"/>
    <mergeCell ref="A47:G47"/>
    <mergeCell ref="A48:G48"/>
    <mergeCell ref="A52:G52"/>
    <mergeCell ref="B54:G54"/>
    <mergeCell ref="A54:A56"/>
    <mergeCell ref="A59:A61"/>
    <mergeCell ref="B59:G59"/>
    <mergeCell ref="G64:G65"/>
    <mergeCell ref="A64:A66"/>
    <mergeCell ref="B64:C64"/>
    <mergeCell ref="D64:E64"/>
    <mergeCell ref="D65:E65"/>
    <mergeCell ref="B61:G62"/>
    <mergeCell ref="B56:G57"/>
    <mergeCell ref="A50:F50"/>
    <mergeCell ref="B45:G45"/>
    <mergeCell ref="B44:D44"/>
    <mergeCell ref="A37:B37"/>
    <mergeCell ref="A38:B38"/>
    <mergeCell ref="C37:D37"/>
    <mergeCell ref="C38:D38"/>
    <mergeCell ref="A41:G41"/>
    <mergeCell ref="A42:A44"/>
    <mergeCell ref="B42:D43"/>
    <mergeCell ref="E37:F37"/>
    <mergeCell ref="E38:F38"/>
    <mergeCell ref="A39:E39"/>
    <mergeCell ref="A4:F5"/>
    <mergeCell ref="C8:D8"/>
    <mergeCell ref="E8:F8"/>
    <mergeCell ref="C36:D36"/>
    <mergeCell ref="A13:B13"/>
    <mergeCell ref="A36:B36"/>
    <mergeCell ref="A10:B10"/>
    <mergeCell ref="C35:D35"/>
    <mergeCell ref="A12:B12"/>
    <mergeCell ref="N4:P4"/>
    <mergeCell ref="A89:G89"/>
    <mergeCell ref="C34:D34"/>
    <mergeCell ref="E36:F36"/>
    <mergeCell ref="A31:F32"/>
    <mergeCell ref="N30:P30"/>
    <mergeCell ref="N31:P31"/>
    <mergeCell ref="A15:F16"/>
    <mergeCell ref="C18:D18"/>
    <mergeCell ref="E20:F20"/>
    <mergeCell ref="A11:B11"/>
    <mergeCell ref="C9:D9"/>
    <mergeCell ref="E9:F9"/>
    <mergeCell ref="A49:F49"/>
    <mergeCell ref="A51:F51"/>
    <mergeCell ref="A7:B8"/>
    <mergeCell ref="A1:G1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  <mergeCell ref="C7:D7"/>
    <mergeCell ref="E7:F7"/>
    <mergeCell ref="A9:B9"/>
    <mergeCell ref="A2:F2"/>
    <mergeCell ref="A6:F6"/>
  </mergeCells>
  <phoneticPr fontId="7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1" manualBreakCount="1">
    <brk id="45" max="6" man="1"/>
  </rowBreaks>
  <colBreaks count="1" manualBreakCount="1">
    <brk id="8" max="1048575" man="1"/>
  </colBreaks>
  <ignoredErrors>
    <ignoredError sqref="D67:D68 D69:D8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4"/>
  <sheetViews>
    <sheetView view="pageBreakPreview" zoomScale="85" zoomScaleSheetLayoutView="85" workbookViewId="0">
      <selection activeCell="D67" sqref="D67:E67"/>
    </sheetView>
  </sheetViews>
  <sheetFormatPr defaultColWidth="8.85546875" defaultRowHeight="15" x14ac:dyDescent="0.25"/>
  <cols>
    <col min="1" max="1" width="10" style="228" customWidth="1"/>
    <col min="2" max="8" width="17" style="228" customWidth="1"/>
    <col min="9" max="16384" width="8.85546875" style="228"/>
  </cols>
  <sheetData>
    <row r="1" spans="1:8" ht="20.25" x14ac:dyDescent="0.3">
      <c r="A1" s="1019" t="s">
        <v>19</v>
      </c>
      <c r="B1" s="1020"/>
      <c r="C1" s="1020"/>
      <c r="D1" s="1020"/>
      <c r="E1" s="1020"/>
      <c r="F1" s="1020"/>
      <c r="G1" s="1020"/>
      <c r="H1" s="1021"/>
    </row>
    <row r="2" spans="1:8" ht="20.25" x14ac:dyDescent="0.3">
      <c r="A2" s="1032" t="s">
        <v>167</v>
      </c>
      <c r="B2" s="1033"/>
      <c r="C2" s="1033"/>
      <c r="D2" s="1033"/>
      <c r="E2" s="1033"/>
      <c r="F2" s="1033"/>
      <c r="G2" s="1033"/>
      <c r="H2" s="1034"/>
    </row>
    <row r="3" spans="1:8" ht="21" thickBot="1" x14ac:dyDescent="0.35">
      <c r="A3" s="1290" t="str">
        <f>'Forside 1'!A6:I6</f>
        <v>Gældende fra 1. september 2024</v>
      </c>
      <c r="B3" s="1291"/>
      <c r="C3" s="1291"/>
      <c r="D3" s="1291"/>
      <c r="E3" s="1291"/>
      <c r="F3" s="1291"/>
      <c r="G3" s="1291"/>
      <c r="H3" s="1292"/>
    </row>
    <row r="4" spans="1:8" ht="18.75" customHeight="1" thickBot="1" x14ac:dyDescent="0.3">
      <c r="A4" s="593"/>
      <c r="B4" s="593"/>
      <c r="C4" s="593"/>
      <c r="D4" s="593"/>
      <c r="E4" s="593"/>
      <c r="F4" s="593"/>
      <c r="G4" s="593"/>
      <c r="H4" s="593"/>
    </row>
    <row r="5" spans="1:8" ht="41.25" customHeight="1" thickBot="1" x14ac:dyDescent="0.3">
      <c r="A5" s="1295" t="s">
        <v>397</v>
      </c>
      <c r="B5" s="1296"/>
      <c r="C5" s="1296"/>
      <c r="D5" s="1296"/>
      <c r="E5" s="1296"/>
      <c r="F5" s="1297"/>
      <c r="G5" s="1278" t="s">
        <v>93</v>
      </c>
      <c r="H5" s="1279"/>
    </row>
    <row r="6" spans="1:8" ht="26.1" customHeight="1" thickBot="1" x14ac:dyDescent="0.3">
      <c r="A6" s="1275" t="s">
        <v>396</v>
      </c>
      <c r="B6" s="1276"/>
      <c r="C6" s="1276"/>
      <c r="D6" s="1276"/>
      <c r="E6" s="1276"/>
      <c r="F6" s="1276"/>
      <c r="G6" s="1276"/>
      <c r="H6" s="1277"/>
    </row>
    <row r="7" spans="1:8" x14ac:dyDescent="0.25">
      <c r="A7" s="612" t="s">
        <v>57</v>
      </c>
      <c r="B7" s="612" t="s">
        <v>75</v>
      </c>
      <c r="C7" s="612" t="s">
        <v>76</v>
      </c>
      <c r="D7" s="612" t="s">
        <v>77</v>
      </c>
      <c r="E7" s="612" t="s">
        <v>78</v>
      </c>
      <c r="F7" s="612" t="s">
        <v>79</v>
      </c>
      <c r="G7" s="612" t="s">
        <v>204</v>
      </c>
      <c r="H7" s="609">
        <v>0.14699999999999999</v>
      </c>
    </row>
    <row r="8" spans="1:8" ht="15.75" x14ac:dyDescent="0.25">
      <c r="A8" s="535">
        <v>14</v>
      </c>
      <c r="B8" s="536">
        <f>+'Statens skalatrin'!D46</f>
        <v>23293.5</v>
      </c>
      <c r="C8" s="536">
        <f>+'Statens skalatrin'!F46</f>
        <v>23778.58</v>
      </c>
      <c r="D8" s="536">
        <f>+'Statens skalatrin'!H46</f>
        <v>24114.33</v>
      </c>
      <c r="E8" s="536">
        <f>+'Statens skalatrin'!J46</f>
        <v>24599.33</v>
      </c>
      <c r="F8" s="536">
        <f>+'Statens skalatrin'!L46</f>
        <v>24935.08</v>
      </c>
      <c r="G8" s="537">
        <f>+'Statens skalatrin'!O46</f>
        <v>21778.67</v>
      </c>
      <c r="H8" s="537">
        <f>ROUND(G8*$H$7,2)</f>
        <v>3201.46</v>
      </c>
    </row>
    <row r="9" spans="1:8" ht="15.75" x14ac:dyDescent="0.25">
      <c r="A9" s="535">
        <v>15</v>
      </c>
      <c r="B9" s="536">
        <f>+'Statens skalatrin'!D49</f>
        <v>23706.67</v>
      </c>
      <c r="C9" s="536">
        <f>+'Statens skalatrin'!F49</f>
        <v>24203.83</v>
      </c>
      <c r="D9" s="536">
        <f>+'Statens skalatrin'!H49</f>
        <v>24548</v>
      </c>
      <c r="E9" s="536">
        <f>+'Statens skalatrin'!J49</f>
        <v>25045.42</v>
      </c>
      <c r="F9" s="536">
        <f>+'Statens skalatrin'!L49</f>
        <v>25389.67</v>
      </c>
      <c r="G9" s="537">
        <f>+'Statens skalatrin'!O49</f>
        <v>22165.759999999998</v>
      </c>
      <c r="H9" s="537">
        <f t="shared" ref="H9:H33" si="0">ROUND(G9*$H$7,2)</f>
        <v>3258.37</v>
      </c>
    </row>
    <row r="10" spans="1:8" ht="15.75" x14ac:dyDescent="0.25">
      <c r="A10" s="535">
        <v>16</v>
      </c>
      <c r="B10" s="536">
        <f>'Statens skalatrin'!D52</f>
        <v>24023.33</v>
      </c>
      <c r="C10" s="536">
        <f>+'Statens skalatrin'!F52</f>
        <v>24533.17</v>
      </c>
      <c r="D10" s="536">
        <f>+'Statens skalatrin'!H52</f>
        <v>24886.25</v>
      </c>
      <c r="E10" s="536">
        <f>+'Statens skalatrin'!J52</f>
        <v>25396</v>
      </c>
      <c r="F10" s="536">
        <f>+'Statens skalatrin'!L52</f>
        <v>25749.08</v>
      </c>
      <c r="G10" s="537">
        <f>+'Statens skalatrin'!O52</f>
        <v>22563.74</v>
      </c>
      <c r="H10" s="537">
        <f t="shared" si="0"/>
        <v>3316.87</v>
      </c>
    </row>
    <row r="11" spans="1:8" ht="15.75" x14ac:dyDescent="0.25">
      <c r="A11" s="535">
        <v>17</v>
      </c>
      <c r="B11" s="536">
        <f>'Statens skalatrin'!D55</f>
        <v>24459.5</v>
      </c>
      <c r="C11" s="536">
        <f>+'Statens skalatrin'!F55</f>
        <v>24982.33</v>
      </c>
      <c r="D11" s="536">
        <f>+'Statens skalatrin'!H55</f>
        <v>25344.33</v>
      </c>
      <c r="E11" s="536">
        <f>+'Statens skalatrin'!J55</f>
        <v>25867.08</v>
      </c>
      <c r="F11" s="536">
        <f>+'Statens skalatrin'!L55</f>
        <v>26228.83</v>
      </c>
      <c r="G11" s="537">
        <f>+'Statens skalatrin'!O55</f>
        <v>22972.43</v>
      </c>
      <c r="H11" s="537">
        <f t="shared" si="0"/>
        <v>3376.95</v>
      </c>
    </row>
    <row r="12" spans="1:8" ht="15.75" x14ac:dyDescent="0.25">
      <c r="A12" s="535">
        <v>18</v>
      </c>
      <c r="B12" s="536">
        <f>'Statens skalatrin'!D58</f>
        <v>24908</v>
      </c>
      <c r="C12" s="536">
        <f>+'Statens skalatrin'!F58</f>
        <v>25444.080000000002</v>
      </c>
      <c r="D12" s="536">
        <f>+'Statens skalatrin'!H58</f>
        <v>25815.17</v>
      </c>
      <c r="E12" s="536">
        <f>+'Statens skalatrin'!J58</f>
        <v>26351.25</v>
      </c>
      <c r="F12" s="536">
        <f>+'Statens skalatrin'!L58</f>
        <v>26722.25</v>
      </c>
      <c r="G12" s="537">
        <f>+'Statens skalatrin'!O58</f>
        <v>23392.58</v>
      </c>
      <c r="H12" s="537">
        <f t="shared" si="0"/>
        <v>3438.71</v>
      </c>
    </row>
    <row r="13" spans="1:8" ht="15.75" x14ac:dyDescent="0.25">
      <c r="A13" s="535">
        <v>19</v>
      </c>
      <c r="B13" s="536">
        <f>'Statens skalatrin'!D61</f>
        <v>25242.58</v>
      </c>
      <c r="C13" s="536">
        <f>+'Statens skalatrin'!F61</f>
        <v>25792.33</v>
      </c>
      <c r="D13" s="536">
        <f>+'Statens skalatrin'!H61</f>
        <v>26172.75</v>
      </c>
      <c r="E13" s="536">
        <f>+'Statens skalatrin'!J61</f>
        <v>26722.67</v>
      </c>
      <c r="F13" s="536">
        <f>+'Statens skalatrin'!L61</f>
        <v>27103.33</v>
      </c>
      <c r="G13" s="537">
        <f>+'Statens skalatrin'!O61</f>
        <v>23824.17</v>
      </c>
      <c r="H13" s="537">
        <f t="shared" si="0"/>
        <v>3502.15</v>
      </c>
    </row>
    <row r="14" spans="1:8" ht="15.75" x14ac:dyDescent="0.25">
      <c r="A14" s="535">
        <v>20</v>
      </c>
      <c r="B14" s="536">
        <f>+'Statens skalatrin'!D64</f>
        <v>25590.17</v>
      </c>
      <c r="C14" s="536">
        <f>+'Statens skalatrin'!F64</f>
        <v>26153.75</v>
      </c>
      <c r="D14" s="536">
        <f>+'Statens skalatrin'!H64</f>
        <v>26544.080000000002</v>
      </c>
      <c r="E14" s="536">
        <f>+'Statens skalatrin'!J64</f>
        <v>27107.75</v>
      </c>
      <c r="F14" s="536">
        <f>+'Statens skalatrin'!L64</f>
        <v>27497.83</v>
      </c>
      <c r="G14" s="537">
        <f>+'Statens skalatrin'!O64</f>
        <v>24267.59</v>
      </c>
      <c r="H14" s="537">
        <f t="shared" si="0"/>
        <v>3567.34</v>
      </c>
    </row>
    <row r="15" spans="1:8" ht="15.75" x14ac:dyDescent="0.25">
      <c r="A15" s="535">
        <v>21</v>
      </c>
      <c r="B15" s="536">
        <f>+'Statens skalatrin'!D67</f>
        <v>26013.75</v>
      </c>
      <c r="C15" s="536">
        <f>+'Statens skalatrin'!F67</f>
        <v>26591.83</v>
      </c>
      <c r="D15" s="536">
        <f>+'Statens skalatrin'!H67</f>
        <v>26992.080000000002</v>
      </c>
      <c r="E15" s="536">
        <f>+'Statens skalatrin'!J67</f>
        <v>27570.17</v>
      </c>
      <c r="F15" s="536">
        <f>+'Statens skalatrin'!L67</f>
        <v>27970.42</v>
      </c>
      <c r="G15" s="537">
        <f>+'Statens skalatrin'!O67</f>
        <v>24723.38</v>
      </c>
      <c r="H15" s="537">
        <f t="shared" si="0"/>
        <v>3634.34</v>
      </c>
    </row>
    <row r="16" spans="1:8" ht="15.75" x14ac:dyDescent="0.25">
      <c r="A16" s="535">
        <v>22</v>
      </c>
      <c r="B16" s="536">
        <f>+'Statens skalatrin'!D70</f>
        <v>26406.17</v>
      </c>
      <c r="C16" s="536">
        <f>+'Statens skalatrin'!F70</f>
        <v>26984.33</v>
      </c>
      <c r="D16" s="536">
        <f>+'Statens skalatrin'!H70</f>
        <v>27384.58</v>
      </c>
      <c r="E16" s="536">
        <f>+'Statens skalatrin'!J70</f>
        <v>27962.67</v>
      </c>
      <c r="F16" s="536">
        <f>+'Statens skalatrin'!L70</f>
        <v>28362.92</v>
      </c>
      <c r="G16" s="537">
        <f>+'Statens skalatrin'!O70</f>
        <v>25178.78</v>
      </c>
      <c r="H16" s="537">
        <f t="shared" si="0"/>
        <v>3701.28</v>
      </c>
    </row>
    <row r="17" spans="1:8" ht="15.75" x14ac:dyDescent="0.25">
      <c r="A17" s="535">
        <v>23</v>
      </c>
      <c r="B17" s="536">
        <f>+'Statens skalatrin'!D73</f>
        <v>26826.83</v>
      </c>
      <c r="C17" s="536">
        <f>+'Statens skalatrin'!F73</f>
        <v>27388.83</v>
      </c>
      <c r="D17" s="536">
        <f>+'Statens skalatrin'!H73</f>
        <v>27778.25</v>
      </c>
      <c r="E17" s="536">
        <f>+'Statens skalatrin'!J73</f>
        <v>28340.5</v>
      </c>
      <c r="F17" s="536">
        <f>+'Statens skalatrin'!L73</f>
        <v>28729.58</v>
      </c>
      <c r="G17" s="537">
        <f>+'Statens skalatrin'!O73</f>
        <v>25633.09</v>
      </c>
      <c r="H17" s="537">
        <f t="shared" si="0"/>
        <v>3768.06</v>
      </c>
    </row>
    <row r="18" spans="1:8" ht="15.75" x14ac:dyDescent="0.25">
      <c r="A18" s="535">
        <v>24</v>
      </c>
      <c r="B18" s="536">
        <f>+'Statens skalatrin'!D76</f>
        <v>27260.25</v>
      </c>
      <c r="C18" s="536">
        <f>+'Statens skalatrin'!F76</f>
        <v>27806.5</v>
      </c>
      <c r="D18" s="536">
        <f>+'Statens skalatrin'!H76</f>
        <v>28184.75</v>
      </c>
      <c r="E18" s="536">
        <f>+'Statens skalatrin'!J76</f>
        <v>28731.17</v>
      </c>
      <c r="F18" s="536">
        <f>+'Statens skalatrin'!L76</f>
        <v>29109.42</v>
      </c>
      <c r="G18" s="537">
        <f>+'Statens skalatrin'!O76</f>
        <v>26100.31</v>
      </c>
      <c r="H18" s="537">
        <f t="shared" si="0"/>
        <v>3836.75</v>
      </c>
    </row>
    <row r="19" spans="1:8" ht="15.75" x14ac:dyDescent="0.25">
      <c r="A19" s="535">
        <v>25</v>
      </c>
      <c r="B19" s="536">
        <f>+'Statens skalatrin'!D79</f>
        <v>27703.25</v>
      </c>
      <c r="C19" s="536">
        <f>+'Statens skalatrin'!F79</f>
        <v>28232.58</v>
      </c>
      <c r="D19" s="536">
        <f>+'Statens skalatrin'!H79</f>
        <v>28599</v>
      </c>
      <c r="E19" s="536">
        <f>+'Statens skalatrin'!J79</f>
        <v>29128.33</v>
      </c>
      <c r="F19" s="536">
        <f>+'Statens skalatrin'!L79</f>
        <v>29494.67</v>
      </c>
      <c r="G19" s="537">
        <f>+'Statens skalatrin'!O79</f>
        <v>26579.64</v>
      </c>
      <c r="H19" s="537">
        <f t="shared" si="0"/>
        <v>3907.21</v>
      </c>
    </row>
    <row r="20" spans="1:8" ht="15.75" x14ac:dyDescent="0.25">
      <c r="A20" s="535">
        <v>26</v>
      </c>
      <c r="B20" s="536">
        <f>+'Statens skalatrin'!D82</f>
        <v>28156.58</v>
      </c>
      <c r="C20" s="536">
        <f>+'Statens skalatrin'!F82</f>
        <v>28667.5</v>
      </c>
      <c r="D20" s="536">
        <f>+'Statens skalatrin'!H82</f>
        <v>29021.25</v>
      </c>
      <c r="E20" s="536">
        <f>+'Statens skalatrin'!J82</f>
        <v>29532.25</v>
      </c>
      <c r="F20" s="536">
        <f>+'Statens skalatrin'!L82</f>
        <v>29885.919999999998</v>
      </c>
      <c r="G20" s="537">
        <f>+'Statens skalatrin'!O82</f>
        <v>27071.57</v>
      </c>
      <c r="H20" s="537">
        <f t="shared" si="0"/>
        <v>3979.52</v>
      </c>
    </row>
    <row r="21" spans="1:8" ht="15.75" x14ac:dyDescent="0.25">
      <c r="A21" s="535">
        <v>27</v>
      </c>
      <c r="B21" s="536">
        <f>+'Statens skalatrin'!D85</f>
        <v>28619.67</v>
      </c>
      <c r="C21" s="536">
        <f>+'Statens skalatrin'!F85</f>
        <v>29110.92</v>
      </c>
      <c r="D21" s="536">
        <f>+'Statens skalatrin'!H85</f>
        <v>29451.33</v>
      </c>
      <c r="E21" s="536">
        <f>+'Statens skalatrin'!J85</f>
        <v>29942.67</v>
      </c>
      <c r="F21" s="536">
        <f>+'Statens skalatrin'!L85</f>
        <v>30282.92</v>
      </c>
      <c r="G21" s="537">
        <f>+'Statens skalatrin'!O85</f>
        <v>27576.23</v>
      </c>
      <c r="H21" s="537">
        <f t="shared" si="0"/>
        <v>4053.71</v>
      </c>
    </row>
    <row r="22" spans="1:8" ht="15.75" x14ac:dyDescent="0.25">
      <c r="A22" s="535">
        <v>28</v>
      </c>
      <c r="B22" s="536">
        <f>+'Statens skalatrin'!D88</f>
        <v>29093.25</v>
      </c>
      <c r="C22" s="536">
        <f>+'Statens skalatrin'!F88</f>
        <v>29563.75</v>
      </c>
      <c r="D22" s="536">
        <f>+'Statens skalatrin'!H88</f>
        <v>29889.5</v>
      </c>
      <c r="E22" s="536">
        <f>+'Statens skalatrin'!J88</f>
        <v>30360</v>
      </c>
      <c r="F22" s="536">
        <f>+'Statens skalatrin'!L88</f>
        <v>30685.83</v>
      </c>
      <c r="G22" s="537">
        <f>+'Statens skalatrin'!O88</f>
        <v>28094.31</v>
      </c>
      <c r="H22" s="537">
        <f t="shared" si="0"/>
        <v>4129.8599999999997</v>
      </c>
    </row>
    <row r="23" spans="1:8" ht="15.75" x14ac:dyDescent="0.25">
      <c r="A23" s="535">
        <v>29</v>
      </c>
      <c r="B23" s="536">
        <f>+'Statens skalatrin'!D91</f>
        <v>29577.42</v>
      </c>
      <c r="C23" s="536">
        <f>+'Statens skalatrin'!F91</f>
        <v>30025.58</v>
      </c>
      <c r="D23" s="536">
        <f>+'Statens skalatrin'!H91</f>
        <v>30336</v>
      </c>
      <c r="E23" s="536">
        <f>+'Statens skalatrin'!J91</f>
        <v>30784.25</v>
      </c>
      <c r="F23" s="536">
        <f>+'Statens skalatrin'!L91</f>
        <v>31094.58</v>
      </c>
      <c r="G23" s="537">
        <f>+'Statens skalatrin'!O91</f>
        <v>28625.73</v>
      </c>
      <c r="H23" s="537">
        <f t="shared" si="0"/>
        <v>4207.9799999999996</v>
      </c>
    </row>
    <row r="24" spans="1:8" ht="15.75" x14ac:dyDescent="0.25">
      <c r="A24" s="535">
        <v>30</v>
      </c>
      <c r="B24" s="536">
        <f>+'Statens skalatrin'!D94</f>
        <v>30072.58</v>
      </c>
      <c r="C24" s="536">
        <f>+'Statens skalatrin'!F94</f>
        <v>30497.08</v>
      </c>
      <c r="D24" s="536">
        <f>+'Statens skalatrin'!H94</f>
        <v>30790.92</v>
      </c>
      <c r="E24" s="536">
        <f>+'Statens skalatrin'!J94</f>
        <v>31215.25</v>
      </c>
      <c r="F24" s="536">
        <f>+'Statens skalatrin'!L94</f>
        <v>31509.17</v>
      </c>
      <c r="G24" s="537">
        <f>+'Statens skalatrin'!O94</f>
        <v>29171.17</v>
      </c>
      <c r="H24" s="537">
        <f t="shared" si="0"/>
        <v>4288.16</v>
      </c>
    </row>
    <row r="25" spans="1:8" ht="15.75" x14ac:dyDescent="0.25">
      <c r="A25" s="535">
        <v>31</v>
      </c>
      <c r="B25" s="536">
        <f>+'Statens skalatrin'!D97</f>
        <v>30578.33</v>
      </c>
      <c r="C25" s="536">
        <f>+'Statens skalatrin'!F97</f>
        <v>30977.58</v>
      </c>
      <c r="D25" s="536">
        <f>+'Statens skalatrin'!H97</f>
        <v>31254.080000000002</v>
      </c>
      <c r="E25" s="536">
        <f>+'Statens skalatrin'!J97</f>
        <v>31653.33</v>
      </c>
      <c r="F25" s="536">
        <f>+'Statens skalatrin'!L97</f>
        <v>31929.75</v>
      </c>
      <c r="G25" s="537">
        <f>+'Statens skalatrin'!O97</f>
        <v>29730.75</v>
      </c>
      <c r="H25" s="537">
        <f t="shared" si="0"/>
        <v>4370.42</v>
      </c>
    </row>
    <row r="26" spans="1:8" ht="15.75" x14ac:dyDescent="0.25">
      <c r="A26" s="535">
        <v>32</v>
      </c>
      <c r="B26" s="536">
        <f>+'Statens skalatrin'!D100</f>
        <v>31095.919999999998</v>
      </c>
      <c r="C26" s="536">
        <f>+'Statens skalatrin'!F100</f>
        <v>31468.17</v>
      </c>
      <c r="D26" s="536">
        <f>+'Statens skalatrin'!H100</f>
        <v>31726</v>
      </c>
      <c r="E26" s="536">
        <f>+'Statens skalatrin'!J100</f>
        <v>32098.5</v>
      </c>
      <c r="F26" s="536">
        <f>+'Statens skalatrin'!L100</f>
        <v>32356.17</v>
      </c>
      <c r="G26" s="537">
        <f>+'Statens skalatrin'!O100</f>
        <v>30305.13</v>
      </c>
      <c r="H26" s="537">
        <f t="shared" si="0"/>
        <v>4454.8500000000004</v>
      </c>
    </row>
    <row r="27" spans="1:8" ht="15.75" x14ac:dyDescent="0.25">
      <c r="A27" s="535">
        <v>33</v>
      </c>
      <c r="B27" s="536">
        <f>+'Statens skalatrin'!D103</f>
        <v>31624.33</v>
      </c>
      <c r="C27" s="536">
        <f>+'Statens skalatrin'!F103</f>
        <v>31968.080000000002</v>
      </c>
      <c r="D27" s="536">
        <f>+'Statens skalatrin'!H103</f>
        <v>32206.33</v>
      </c>
      <c r="E27" s="536">
        <f>+'Statens skalatrin'!J103</f>
        <v>32550.25</v>
      </c>
      <c r="F27" s="536">
        <f>+'Statens skalatrin'!L103</f>
        <v>32788.33</v>
      </c>
      <c r="G27" s="537">
        <f>+'Statens skalatrin'!O103</f>
        <v>30894.26</v>
      </c>
      <c r="H27" s="537">
        <f t="shared" si="0"/>
        <v>4541.46</v>
      </c>
    </row>
    <row r="28" spans="1:8" ht="15.75" x14ac:dyDescent="0.25">
      <c r="A28" s="535">
        <v>34</v>
      </c>
      <c r="B28" s="536">
        <f>+'Statens skalatrin'!D106</f>
        <v>32164.92</v>
      </c>
      <c r="C28" s="536">
        <f>+'Statens skalatrin'!F106</f>
        <v>32478.58</v>
      </c>
      <c r="D28" s="536">
        <f>+'Statens skalatrin'!H106</f>
        <v>32695.75</v>
      </c>
      <c r="E28" s="536">
        <f>+'Statens skalatrin'!J106</f>
        <v>33009.25</v>
      </c>
      <c r="F28" s="536">
        <f>+'Statens skalatrin'!L106</f>
        <v>33226.42</v>
      </c>
      <c r="G28" s="537">
        <f>+'Statens skalatrin'!O106</f>
        <v>31498.959999999999</v>
      </c>
      <c r="H28" s="537">
        <f t="shared" si="0"/>
        <v>4630.3500000000004</v>
      </c>
    </row>
    <row r="29" spans="1:8" ht="15.75" x14ac:dyDescent="0.25">
      <c r="A29" s="535">
        <v>35</v>
      </c>
      <c r="B29" s="536">
        <f>+'Statens skalatrin'!D109</f>
        <v>32717.42</v>
      </c>
      <c r="C29" s="536">
        <f>+'Statens skalatrin'!F109</f>
        <v>32999.17</v>
      </c>
      <c r="D29" s="536">
        <f>+'Statens skalatrin'!H109</f>
        <v>33194</v>
      </c>
      <c r="E29" s="536">
        <f>+'Statens skalatrin'!J109</f>
        <v>33475.75</v>
      </c>
      <c r="F29" s="536">
        <f>+'Statens skalatrin'!L109</f>
        <v>33670.67</v>
      </c>
      <c r="G29" s="537">
        <f>+'Statens skalatrin'!O109</f>
        <v>32119.54</v>
      </c>
      <c r="H29" s="537">
        <f t="shared" si="0"/>
        <v>4721.57</v>
      </c>
    </row>
    <row r="30" spans="1:8" ht="15.75" x14ac:dyDescent="0.25">
      <c r="A30" s="535">
        <v>36</v>
      </c>
      <c r="B30" s="536">
        <f>'Statens skalatrin'!D112</f>
        <v>33282.080000000002</v>
      </c>
      <c r="C30" s="536">
        <f>+'Statens skalatrin'!F112</f>
        <v>33529.75</v>
      </c>
      <c r="D30" s="536">
        <f>+'Statens skalatrin'!H112</f>
        <v>33701.25</v>
      </c>
      <c r="E30" s="536">
        <f>+'Statens skalatrin'!J112</f>
        <v>33949</v>
      </c>
      <c r="F30" s="536">
        <f>+'Statens skalatrin'!L112</f>
        <v>34120.42</v>
      </c>
      <c r="G30" s="537">
        <f>+'Statens skalatrin'!O112</f>
        <v>32756.1</v>
      </c>
      <c r="H30" s="537">
        <f t="shared" si="0"/>
        <v>4815.1499999999996</v>
      </c>
    </row>
    <row r="31" spans="1:8" ht="15.75" x14ac:dyDescent="0.25">
      <c r="A31" s="535">
        <v>37</v>
      </c>
      <c r="B31" s="536">
        <f>+'Statens skalatrin'!D115</f>
        <v>33859.17</v>
      </c>
      <c r="C31" s="536">
        <f>+'Statens skalatrin'!F115</f>
        <v>34071</v>
      </c>
      <c r="D31" s="536">
        <f>+'Statens skalatrin'!H115</f>
        <v>34217.5</v>
      </c>
      <c r="E31" s="536">
        <f>+'Statens skalatrin'!J115</f>
        <v>34429.33</v>
      </c>
      <c r="F31" s="536">
        <f>+'Statens skalatrin'!L115</f>
        <v>34576.080000000002</v>
      </c>
      <c r="G31" s="537">
        <f>+'Statens skalatrin'!O115</f>
        <v>33409.29</v>
      </c>
      <c r="H31" s="537">
        <f t="shared" si="0"/>
        <v>4911.17</v>
      </c>
    </row>
    <row r="32" spans="1:8" ht="15.75" x14ac:dyDescent="0.25">
      <c r="A32" s="784">
        <v>38</v>
      </c>
      <c r="B32" s="537">
        <f>+'Statens skalatrin'!D118</f>
        <v>34468.58</v>
      </c>
      <c r="C32" s="537">
        <f>+'Statens skalatrin'!F118</f>
        <v>34645.83</v>
      </c>
      <c r="D32" s="537">
        <f>+'Statens skalatrin'!H118</f>
        <v>34768.5</v>
      </c>
      <c r="E32" s="537">
        <f>+'Statens skalatrin'!J118</f>
        <v>34945.75</v>
      </c>
      <c r="F32" s="537">
        <f>+'Statens skalatrin'!L118</f>
        <v>35068.67</v>
      </c>
      <c r="G32" s="537">
        <f>+'Statens skalatrin'!O118</f>
        <v>34092.050000000003</v>
      </c>
      <c r="H32" s="537">
        <f t="shared" si="0"/>
        <v>5011.53</v>
      </c>
    </row>
    <row r="33" spans="1:8" ht="16.5" thickBot="1" x14ac:dyDescent="0.3">
      <c r="A33" s="785">
        <v>39</v>
      </c>
      <c r="B33" s="786">
        <f>'Statens skalatrin'!D121</f>
        <v>35083.919999999998</v>
      </c>
      <c r="C33" s="786">
        <f>'Statens skalatrin'!F121</f>
        <v>35220.58</v>
      </c>
      <c r="D33" s="786">
        <f>'Statens skalatrin'!H121</f>
        <v>35315.08</v>
      </c>
      <c r="E33" s="786">
        <f>'Statens skalatrin'!J121</f>
        <v>35451.5</v>
      </c>
      <c r="F33" s="786">
        <f>'Statens skalatrin'!L121</f>
        <v>35546.080000000002</v>
      </c>
      <c r="G33" s="786">
        <f>'Statens skalatrin'!O121</f>
        <v>34794.15</v>
      </c>
      <c r="H33" s="786">
        <f t="shared" si="0"/>
        <v>5114.74</v>
      </c>
    </row>
    <row r="34" spans="1:8" ht="21" thickBot="1" x14ac:dyDescent="0.3">
      <c r="A34" s="1298" t="s">
        <v>398</v>
      </c>
      <c r="B34" s="1299"/>
      <c r="C34" s="1299"/>
      <c r="D34" s="1299"/>
      <c r="E34" s="1299"/>
      <c r="F34" s="1300"/>
      <c r="G34" s="1293" t="s">
        <v>320</v>
      </c>
      <c r="H34" s="1294"/>
    </row>
    <row r="35" spans="1:8" ht="26.1" customHeight="1" thickBot="1" x14ac:dyDescent="0.3">
      <c r="A35" s="1270" t="s">
        <v>396</v>
      </c>
      <c r="B35" s="1271"/>
      <c r="C35" s="1271"/>
      <c r="D35" s="1271"/>
      <c r="E35" s="1271"/>
      <c r="F35" s="1271"/>
      <c r="G35" s="1271"/>
      <c r="H35" s="1272"/>
    </row>
    <row r="36" spans="1:8" ht="26.1" customHeight="1" thickBot="1" x14ac:dyDescent="0.3">
      <c r="A36" s="489" t="s">
        <v>57</v>
      </c>
      <c r="B36" s="489" t="s">
        <v>75</v>
      </c>
      <c r="C36" s="489" t="s">
        <v>76</v>
      </c>
      <c r="D36" s="489" t="s">
        <v>77</v>
      </c>
      <c r="E36" s="489" t="s">
        <v>78</v>
      </c>
      <c r="F36" s="489" t="s">
        <v>79</v>
      </c>
      <c r="G36" s="489" t="s">
        <v>204</v>
      </c>
      <c r="H36" s="611">
        <v>0.16200000000000001</v>
      </c>
    </row>
    <row r="37" spans="1:8" ht="16.5" customHeight="1" x14ac:dyDescent="0.25">
      <c r="A37" s="592">
        <v>40</v>
      </c>
      <c r="B37" s="538">
        <f>'Statens skalatrin'!D124</f>
        <v>35712.83</v>
      </c>
      <c r="C37" s="538">
        <f>+'Statens skalatrin'!F124</f>
        <v>35806.17</v>
      </c>
      <c r="D37" s="538">
        <f>+'Statens skalatrin'!H124</f>
        <v>35870.83</v>
      </c>
      <c r="E37" s="538">
        <f>+'Statens skalatrin'!J124</f>
        <v>35964.17</v>
      </c>
      <c r="F37" s="538">
        <f>+'Statens skalatrin'!L124</f>
        <v>36028.83</v>
      </c>
      <c r="G37" s="538">
        <f>+'Statens skalatrin'!O124</f>
        <v>35514.410000000003</v>
      </c>
      <c r="H37" s="539">
        <f>ROUND(G37*$H$36,2)</f>
        <v>5753.33</v>
      </c>
    </row>
    <row r="38" spans="1:8" ht="15.75" x14ac:dyDescent="0.25">
      <c r="A38" s="535">
        <v>42</v>
      </c>
      <c r="B38" s="536">
        <f>'Statens skalatrin'!D130</f>
        <v>37011.919999999998</v>
      </c>
      <c r="C38" s="536">
        <f>+'Statens skalatrin'!F130</f>
        <v>37011.919999999998</v>
      </c>
      <c r="D38" s="536">
        <f>+'Statens skalatrin'!H130</f>
        <v>37011.919999999998</v>
      </c>
      <c r="E38" s="536">
        <f>+'Statens skalatrin'!J130</f>
        <v>37011.919999999998</v>
      </c>
      <c r="F38" s="536">
        <f>+'Statens skalatrin'!L130</f>
        <v>37011.919999999998</v>
      </c>
      <c r="G38" s="536">
        <f>+'Statens skalatrin'!O130</f>
        <v>37011.81</v>
      </c>
      <c r="H38" s="539">
        <f t="shared" ref="H38:H40" si="1">ROUND(G38*$H$36,2)</f>
        <v>5995.91</v>
      </c>
    </row>
    <row r="39" spans="1:8" ht="15.75" x14ac:dyDescent="0.25">
      <c r="A39" s="535">
        <v>44</v>
      </c>
      <c r="B39" s="536">
        <f>'Statens skalatrin'!D136</f>
        <v>38677.67</v>
      </c>
      <c r="C39" s="536">
        <f>+'Statens skalatrin'!F136</f>
        <v>38677.67</v>
      </c>
      <c r="D39" s="536">
        <f>+'Statens skalatrin'!H136</f>
        <v>38677.67</v>
      </c>
      <c r="E39" s="536">
        <f>+'Statens skalatrin'!J136</f>
        <v>38677.67</v>
      </c>
      <c r="F39" s="536">
        <f>+'Statens skalatrin'!L136</f>
        <v>38677.67</v>
      </c>
      <c r="G39" s="536">
        <f>+'Statens skalatrin'!O136</f>
        <v>38677.69</v>
      </c>
      <c r="H39" s="539">
        <f t="shared" si="1"/>
        <v>6265.79</v>
      </c>
    </row>
    <row r="40" spans="1:8" ht="16.5" thickBot="1" x14ac:dyDescent="0.3">
      <c r="A40" s="540">
        <v>48</v>
      </c>
      <c r="B40" s="610">
        <f>'Statens skalatrin'!D148</f>
        <v>45134.25</v>
      </c>
      <c r="C40" s="610">
        <f>+'Statens skalatrin'!F148</f>
        <v>45134.25</v>
      </c>
      <c r="D40" s="610">
        <f>+'Statens skalatrin'!H148</f>
        <v>45134.25</v>
      </c>
      <c r="E40" s="610">
        <f>+'Statens skalatrin'!J148</f>
        <v>45134.25</v>
      </c>
      <c r="F40" s="610">
        <f>+'Statens skalatrin'!L148</f>
        <v>45134.25</v>
      </c>
      <c r="G40" s="610">
        <f>+'Statens skalatrin'!O148</f>
        <v>45134.1</v>
      </c>
      <c r="H40" s="539">
        <f t="shared" si="1"/>
        <v>7311.72</v>
      </c>
    </row>
    <row r="41" spans="1:8" ht="15" customHeight="1" x14ac:dyDescent="0.25">
      <c r="A41" s="1286"/>
      <c r="B41" s="1286"/>
      <c r="C41" s="1286"/>
      <c r="D41" s="1286"/>
      <c r="E41" s="1286"/>
      <c r="F41" s="1286"/>
      <c r="G41" s="1286"/>
      <c r="H41" s="1286"/>
    </row>
    <row r="42" spans="1:8" ht="15.75" thickBot="1" x14ac:dyDescent="0.3">
      <c r="A42" s="1287"/>
      <c r="B42" s="1287"/>
      <c r="C42" s="1287"/>
      <c r="D42" s="1287"/>
      <c r="E42" s="1287"/>
      <c r="F42" s="1287"/>
      <c r="G42" s="1287"/>
      <c r="H42" s="1287"/>
    </row>
    <row r="43" spans="1:8" ht="18" x14ac:dyDescent="0.25">
      <c r="A43" s="911" t="s">
        <v>395</v>
      </c>
      <c r="B43" s="912"/>
      <c r="C43" s="912"/>
      <c r="D43" s="912"/>
      <c r="E43" s="912"/>
      <c r="F43" s="912"/>
      <c r="G43" s="912"/>
      <c r="H43" s="913"/>
    </row>
    <row r="44" spans="1:8" ht="26.1" customHeight="1" thickBot="1" x14ac:dyDescent="0.3">
      <c r="A44" s="1210" t="s">
        <v>279</v>
      </c>
      <c r="B44" s="1211"/>
      <c r="C44" s="1211"/>
      <c r="D44" s="1211"/>
      <c r="E44" s="1211"/>
      <c r="F44" s="1211"/>
      <c r="G44" s="1211"/>
      <c r="H44" s="1212"/>
    </row>
    <row r="45" spans="1:8" ht="26.1" customHeight="1" x14ac:dyDescent="0.25">
      <c r="A45" s="799"/>
      <c r="B45" s="800"/>
      <c r="C45" s="801"/>
      <c r="D45" s="1301" t="s">
        <v>131</v>
      </c>
      <c r="E45" s="1302"/>
      <c r="F45" s="1301" t="s">
        <v>301</v>
      </c>
      <c r="G45" s="1302"/>
      <c r="H45" s="606" t="s">
        <v>243</v>
      </c>
    </row>
    <row r="46" spans="1:8" ht="15.75" customHeight="1" thickBot="1" x14ac:dyDescent="0.3">
      <c r="A46" s="802"/>
      <c r="B46" s="803"/>
      <c r="C46" s="804"/>
      <c r="D46" s="1303">
        <v>40999</v>
      </c>
      <c r="E46" s="1304"/>
      <c r="F46" s="1303" t="str">
        <f>'Løntabel gældende fra'!D1</f>
        <v>01/04/24</v>
      </c>
      <c r="G46" s="1304"/>
      <c r="H46" s="525" t="str">
        <f>'Løntabel gældende fra'!$D$1</f>
        <v>01/04/24</v>
      </c>
    </row>
    <row r="47" spans="1:8" ht="15" customHeight="1" x14ac:dyDescent="0.25">
      <c r="A47" s="1207" t="s">
        <v>430</v>
      </c>
      <c r="B47" s="1208"/>
      <c r="C47" s="1209"/>
      <c r="D47" s="1230">
        <v>4500</v>
      </c>
      <c r="E47" s="1231"/>
      <c r="F47" s="1288">
        <f>ROUND(+D47*(1+'Løntabel gældende fra'!$D$7/100),2)</f>
        <v>5526.3</v>
      </c>
      <c r="G47" s="1289">
        <f>+E47*(1+'Løntabel gældende fra'!$D$7/100)</f>
        <v>0</v>
      </c>
      <c r="H47" s="805">
        <f>ROUND(F47/12,2)</f>
        <v>460.53</v>
      </c>
    </row>
    <row r="48" spans="1:8" ht="66.95" customHeight="1" thickBot="1" x14ac:dyDescent="0.3">
      <c r="A48" s="1232" t="s">
        <v>440</v>
      </c>
      <c r="B48" s="1233"/>
      <c r="C48" s="1234"/>
      <c r="D48" s="1196">
        <v>4398</v>
      </c>
      <c r="E48" s="1197"/>
      <c r="F48" s="1205">
        <f>ROUND(+D48*(1+'Løntabel gældende fra'!$D$7/100),2)</f>
        <v>5401.04</v>
      </c>
      <c r="G48" s="1206">
        <f>+E48*(1+'Løntabel gældende fra'!$D$7/100)</f>
        <v>0</v>
      </c>
      <c r="H48" s="806">
        <f>ROUND(F48/12,2)</f>
        <v>450.09</v>
      </c>
    </row>
    <row r="49" spans="1:8" ht="15" customHeight="1" thickBot="1" x14ac:dyDescent="0.3">
      <c r="A49" s="1309"/>
      <c r="B49" s="1310"/>
      <c r="C49" s="1310"/>
      <c r="D49" s="1310"/>
      <c r="E49" s="1310"/>
      <c r="F49" s="1310"/>
      <c r="G49" s="1310"/>
      <c r="H49" s="1311"/>
    </row>
    <row r="50" spans="1:8" ht="18" x14ac:dyDescent="0.25">
      <c r="A50" s="911" t="s">
        <v>431</v>
      </c>
      <c r="B50" s="912"/>
      <c r="C50" s="912"/>
      <c r="D50" s="912"/>
      <c r="E50" s="912"/>
      <c r="F50" s="912"/>
      <c r="G50" s="912"/>
      <c r="H50" s="913"/>
    </row>
    <row r="51" spans="1:8" ht="26.1" customHeight="1" thickBot="1" x14ac:dyDescent="0.3">
      <c r="A51" s="1210" t="s">
        <v>279</v>
      </c>
      <c r="B51" s="1211"/>
      <c r="C51" s="1211"/>
      <c r="D51" s="1211"/>
      <c r="E51" s="1211"/>
      <c r="F51" s="1211"/>
      <c r="G51" s="1211"/>
      <c r="H51" s="1212"/>
    </row>
    <row r="52" spans="1:8" ht="26.1" customHeight="1" x14ac:dyDescent="0.25">
      <c r="A52" s="799"/>
      <c r="B52" s="800"/>
      <c r="C52" s="801"/>
      <c r="D52" s="1198" t="s">
        <v>131</v>
      </c>
      <c r="E52" s="1199"/>
      <c r="F52" s="1198" t="s">
        <v>301</v>
      </c>
      <c r="G52" s="1199"/>
      <c r="H52" s="606" t="s">
        <v>243</v>
      </c>
    </row>
    <row r="53" spans="1:8" ht="15.75" customHeight="1" thickBot="1" x14ac:dyDescent="0.3">
      <c r="A53" s="802"/>
      <c r="B53" s="803"/>
      <c r="C53" s="804"/>
      <c r="D53" s="1200">
        <v>40999</v>
      </c>
      <c r="E53" s="1201"/>
      <c r="F53" s="1202" t="str">
        <f>'Løntabel gældende fra'!D1</f>
        <v>01/04/24</v>
      </c>
      <c r="G53" s="1201"/>
      <c r="H53" s="525" t="str">
        <f>'Løntabel gældende fra'!$D$1</f>
        <v>01/04/24</v>
      </c>
    </row>
    <row r="54" spans="1:8" ht="15" customHeight="1" x14ac:dyDescent="0.25">
      <c r="A54" s="1207" t="s">
        <v>430</v>
      </c>
      <c r="B54" s="1208"/>
      <c r="C54" s="1209"/>
      <c r="D54" s="1312">
        <v>2000</v>
      </c>
      <c r="E54" s="1313"/>
      <c r="F54" s="1312">
        <f>ROUND(+D54*(1+'Løntabel gældende fra'!$D$7/100),2)</f>
        <v>2456.13</v>
      </c>
      <c r="G54" s="1313"/>
      <c r="H54" s="805">
        <f>ROUND(F54/12,2)</f>
        <v>204.68</v>
      </c>
    </row>
    <row r="55" spans="1:8" ht="66.95" customHeight="1" thickBot="1" x14ac:dyDescent="0.3">
      <c r="A55" s="1232" t="s">
        <v>440</v>
      </c>
      <c r="B55" s="1233"/>
      <c r="C55" s="1234"/>
      <c r="D55" s="1196">
        <v>5345</v>
      </c>
      <c r="E55" s="1197"/>
      <c r="F55" s="1205">
        <f>ROUND(+D55*(1+'Løntabel gældende fra'!$D$7/100),2)</f>
        <v>6564.02</v>
      </c>
      <c r="G55" s="1206">
        <f>+E55*(1+'Løntabel gældende fra'!$D$7/100)</f>
        <v>0</v>
      </c>
      <c r="H55" s="806">
        <f>ROUND(F55/12,2)</f>
        <v>547</v>
      </c>
    </row>
    <row r="56" spans="1:8" ht="31.5" customHeight="1" thickBot="1" x14ac:dyDescent="0.3">
      <c r="A56" s="844"/>
      <c r="B56" s="844"/>
      <c r="C56" s="844"/>
      <c r="D56" s="844"/>
      <c r="E56" s="844"/>
      <c r="F56" s="844"/>
      <c r="G56" s="844"/>
      <c r="H56" s="844"/>
    </row>
    <row r="57" spans="1:8" ht="18" x14ac:dyDescent="0.25">
      <c r="A57" s="911" t="s">
        <v>432</v>
      </c>
      <c r="B57" s="912"/>
      <c r="C57" s="912"/>
      <c r="D57" s="912"/>
      <c r="E57" s="912"/>
      <c r="F57" s="912"/>
      <c r="G57" s="912"/>
      <c r="H57" s="913"/>
    </row>
    <row r="58" spans="1:8" ht="26.1" customHeight="1" thickBot="1" x14ac:dyDescent="0.3">
      <c r="A58" s="1210" t="s">
        <v>279</v>
      </c>
      <c r="B58" s="1211"/>
      <c r="C58" s="1211"/>
      <c r="D58" s="1211"/>
      <c r="E58" s="1211"/>
      <c r="F58" s="1211"/>
      <c r="G58" s="1211"/>
      <c r="H58" s="1212"/>
    </row>
    <row r="59" spans="1:8" ht="26.1" customHeight="1" x14ac:dyDescent="0.25">
      <c r="A59" s="1213" t="s">
        <v>433</v>
      </c>
      <c r="B59" s="1214"/>
      <c r="C59" s="1215"/>
      <c r="D59" s="1198" t="s">
        <v>131</v>
      </c>
      <c r="E59" s="1199"/>
      <c r="F59" s="1198" t="s">
        <v>301</v>
      </c>
      <c r="G59" s="1199"/>
      <c r="H59" s="606" t="s">
        <v>243</v>
      </c>
    </row>
    <row r="60" spans="1:8" ht="15.75" customHeight="1" thickBot="1" x14ac:dyDescent="0.3">
      <c r="A60" s="1216"/>
      <c r="B60" s="1217"/>
      <c r="C60" s="1218"/>
      <c r="D60" s="1200">
        <v>40999</v>
      </c>
      <c r="E60" s="1201"/>
      <c r="F60" s="1202" t="str">
        <f>'Løntabel gældende fra'!D1</f>
        <v>01/04/24</v>
      </c>
      <c r="G60" s="1201"/>
      <c r="H60" s="525" t="str">
        <f>'Løntabel gældende fra'!$D$1</f>
        <v>01/04/24</v>
      </c>
    </row>
    <row r="61" spans="1:8" ht="15" customHeight="1" thickBot="1" x14ac:dyDescent="0.3">
      <c r="A61" s="1219"/>
      <c r="B61" s="1220"/>
      <c r="C61" s="1221"/>
      <c r="D61" s="1222">
        <v>2000</v>
      </c>
      <c r="E61" s="1223"/>
      <c r="F61" s="1222">
        <f>ROUND(+D61*(1+'Løntabel gældende fra'!$D$7/100),2)</f>
        <v>2456.13</v>
      </c>
      <c r="G61" s="1223"/>
      <c r="H61" s="607">
        <f>ROUND(F61/12,2)</f>
        <v>204.68</v>
      </c>
    </row>
    <row r="62" spans="1:8" ht="31.5" customHeight="1" thickBot="1" x14ac:dyDescent="0.3">
      <c r="A62" s="844"/>
      <c r="B62" s="844"/>
      <c r="C62" s="844"/>
      <c r="D62" s="844"/>
      <c r="E62" s="844"/>
      <c r="F62" s="844"/>
      <c r="G62" s="844"/>
      <c r="H62" s="844"/>
    </row>
    <row r="63" spans="1:8" ht="18" x14ac:dyDescent="0.25">
      <c r="A63" s="911" t="s">
        <v>196</v>
      </c>
      <c r="B63" s="912"/>
      <c r="C63" s="912"/>
      <c r="D63" s="912"/>
      <c r="E63" s="912"/>
      <c r="F63" s="912"/>
      <c r="G63" s="912"/>
      <c r="H63" s="913"/>
    </row>
    <row r="64" spans="1:8" ht="20.100000000000001" customHeight="1" thickBot="1" x14ac:dyDescent="0.3">
      <c r="A64" s="991" t="s">
        <v>309</v>
      </c>
      <c r="B64" s="992"/>
      <c r="C64" s="992"/>
      <c r="D64" s="992"/>
      <c r="E64" s="992"/>
      <c r="F64" s="992"/>
      <c r="G64" s="992"/>
      <c r="H64" s="993"/>
    </row>
    <row r="65" spans="1:8" ht="26.1" customHeight="1" x14ac:dyDescent="0.25">
      <c r="A65" s="799"/>
      <c r="B65" s="800"/>
      <c r="C65" s="800"/>
      <c r="D65" s="1198" t="s">
        <v>131</v>
      </c>
      <c r="E65" s="1199"/>
      <c r="F65" s="1198" t="s">
        <v>301</v>
      </c>
      <c r="G65" s="1199"/>
      <c r="H65" s="606" t="s">
        <v>243</v>
      </c>
    </row>
    <row r="66" spans="1:8" ht="15" customHeight="1" thickBot="1" x14ac:dyDescent="0.3">
      <c r="A66" s="807"/>
      <c r="B66" s="808"/>
      <c r="C66" s="808"/>
      <c r="D66" s="1200">
        <v>40999</v>
      </c>
      <c r="E66" s="1201"/>
      <c r="F66" s="1202" t="str">
        <f>'Løntabel gældende fra'!D1</f>
        <v>01/04/24</v>
      </c>
      <c r="G66" s="1201"/>
      <c r="H66" s="525" t="str">
        <f>'Løntabel gældende fra'!$D$1</f>
        <v>01/04/24</v>
      </c>
    </row>
    <row r="67" spans="1:8" ht="21" customHeight="1" x14ac:dyDescent="0.25">
      <c r="A67" s="1235" t="s">
        <v>284</v>
      </c>
      <c r="B67" s="1236"/>
      <c r="C67" s="1237"/>
      <c r="D67" s="1203">
        <v>6480</v>
      </c>
      <c r="E67" s="1204"/>
      <c r="F67" s="1203">
        <f>ROUND(+D67*(1+'Løntabel gældende fra'!$D$7/100),2)</f>
        <v>7957.87</v>
      </c>
      <c r="G67" s="1204"/>
      <c r="H67" s="809">
        <f>ROUND(F67/12,2)</f>
        <v>663.16</v>
      </c>
    </row>
    <row r="68" spans="1:8" ht="21" customHeight="1" x14ac:dyDescent="0.25">
      <c r="A68" s="1238" t="s">
        <v>404</v>
      </c>
      <c r="B68" s="1239"/>
      <c r="C68" s="1240"/>
      <c r="D68" s="1191">
        <v>6480</v>
      </c>
      <c r="E68" s="1192"/>
      <c r="F68" s="1191">
        <f>ROUND(+D68*(1+'Løntabel gældende fra'!$D$7/100),2)</f>
        <v>7957.87</v>
      </c>
      <c r="G68" s="1192"/>
      <c r="H68" s="810">
        <f>ROUND(F68/12,2)</f>
        <v>663.16</v>
      </c>
    </row>
    <row r="69" spans="1:8" ht="33" customHeight="1" x14ac:dyDescent="0.25">
      <c r="A69" s="1238" t="s">
        <v>441</v>
      </c>
      <c r="B69" s="1239"/>
      <c r="C69" s="1240"/>
      <c r="D69" s="1191">
        <v>3240</v>
      </c>
      <c r="E69" s="1192"/>
      <c r="F69" s="1191">
        <f>ROUND(+D69*(1+'Løntabel gældende fra'!$D$7/100),2)</f>
        <v>3978.94</v>
      </c>
      <c r="G69" s="1192"/>
      <c r="H69" s="810">
        <f>ROUND(F69/12,2)</f>
        <v>331.58</v>
      </c>
    </row>
    <row r="70" spans="1:8" ht="33.950000000000003" customHeight="1" thickBot="1" x14ac:dyDescent="0.3">
      <c r="A70" s="1193" t="s">
        <v>429</v>
      </c>
      <c r="B70" s="1194"/>
      <c r="C70" s="1195"/>
      <c r="D70" s="1196">
        <v>8000</v>
      </c>
      <c r="E70" s="1197"/>
      <c r="F70" s="1196">
        <f>ROUND(+D70*(1+'Løntabel gældende fra'!$D$7/100),2)</f>
        <v>9824.5400000000009</v>
      </c>
      <c r="G70" s="1197"/>
      <c r="H70" s="806">
        <f>ROUND(F70/12,2)</f>
        <v>818.71</v>
      </c>
    </row>
    <row r="71" spans="1:8" ht="20.100000000000001" customHeight="1" thickBot="1" x14ac:dyDescent="0.3">
      <c r="A71" s="261"/>
      <c r="B71" s="261"/>
      <c r="C71" s="261"/>
      <c r="D71" s="261"/>
      <c r="E71" s="261"/>
      <c r="F71" s="249"/>
      <c r="G71" s="249"/>
      <c r="H71" s="598"/>
    </row>
    <row r="72" spans="1:8" ht="27" customHeight="1" x14ac:dyDescent="0.25">
      <c r="A72" s="911" t="s">
        <v>277</v>
      </c>
      <c r="B72" s="912"/>
      <c r="C72" s="912"/>
      <c r="D72" s="912"/>
      <c r="E72" s="912"/>
      <c r="F72" s="912"/>
      <c r="G72" s="912"/>
      <c r="H72" s="913"/>
    </row>
    <row r="73" spans="1:8" ht="20.100000000000001" customHeight="1" thickBot="1" x14ac:dyDescent="0.3">
      <c r="A73" s="991" t="s">
        <v>275</v>
      </c>
      <c r="B73" s="992"/>
      <c r="C73" s="992"/>
      <c r="D73" s="992"/>
      <c r="E73" s="992"/>
      <c r="F73" s="992"/>
      <c r="G73" s="992"/>
      <c r="H73" s="993"/>
    </row>
    <row r="74" spans="1:8" ht="20.100000000000001" customHeight="1" x14ac:dyDescent="0.25">
      <c r="A74" s="603"/>
      <c r="B74" s="604"/>
      <c r="C74" s="604"/>
      <c r="D74" s="604"/>
      <c r="E74" s="604"/>
      <c r="F74" s="604"/>
      <c r="G74" s="606" t="s">
        <v>98</v>
      </c>
      <c r="H74" s="605" t="s">
        <v>103</v>
      </c>
    </row>
    <row r="75" spans="1:8" ht="15" customHeight="1" thickBot="1" x14ac:dyDescent="0.3">
      <c r="A75" s="601"/>
      <c r="B75" s="602"/>
      <c r="C75" s="602"/>
      <c r="D75" s="602"/>
      <c r="E75" s="602"/>
      <c r="F75" s="602"/>
      <c r="G75" s="525">
        <v>40999</v>
      </c>
      <c r="H75" s="541" t="str">
        <f>'Løntabel gældende fra'!$D$1</f>
        <v>01/04/24</v>
      </c>
    </row>
    <row r="76" spans="1:8" s="230" customFormat="1" ht="15.75" customHeight="1" x14ac:dyDescent="0.25">
      <c r="A76" s="1228" t="s">
        <v>192</v>
      </c>
      <c r="B76" s="1229"/>
      <c r="C76" s="1229"/>
      <c r="D76" s="1229"/>
      <c r="E76" s="1229"/>
      <c r="F76" s="781" t="s">
        <v>165</v>
      </c>
      <c r="G76" s="782">
        <v>22.32</v>
      </c>
      <c r="H76" s="783">
        <f>ROUND(G76+G76*'Løntabel gældende fra'!$D$7%,2)</f>
        <v>27.41</v>
      </c>
    </row>
    <row r="77" spans="1:8" ht="16.5" customHeight="1" x14ac:dyDescent="0.25">
      <c r="A77" s="1282" t="s">
        <v>392</v>
      </c>
      <c r="B77" s="1283"/>
      <c r="C77" s="1283"/>
      <c r="D77" s="1283"/>
      <c r="E77" s="1283"/>
      <c r="F77" s="1217" t="s">
        <v>165</v>
      </c>
      <c r="G77" s="1280">
        <v>39.92</v>
      </c>
      <c r="H77" s="1273">
        <f>ROUND(G77+G77*'Løntabel gældende fra'!$D$7%,2)</f>
        <v>49.02</v>
      </c>
    </row>
    <row r="78" spans="1:8" ht="15.95" customHeight="1" x14ac:dyDescent="0.25">
      <c r="A78" s="1284"/>
      <c r="B78" s="1285"/>
      <c r="C78" s="1285"/>
      <c r="D78" s="1285"/>
      <c r="E78" s="1285"/>
      <c r="F78" s="1208"/>
      <c r="G78" s="1281"/>
      <c r="H78" s="1274"/>
    </row>
    <row r="79" spans="1:8" s="230" customFormat="1" ht="15.75" x14ac:dyDescent="0.25">
      <c r="A79" s="1224" t="s">
        <v>164</v>
      </c>
      <c r="B79" s="1225"/>
      <c r="C79" s="1225"/>
      <c r="D79" s="1225"/>
      <c r="E79" s="1225"/>
      <c r="F79" s="599" t="s">
        <v>165</v>
      </c>
      <c r="G79" s="524">
        <v>39.92</v>
      </c>
      <c r="H79" s="543">
        <f>ROUND(G79+G79*'Løntabel gældende fra'!$D$7%,2)</f>
        <v>49.02</v>
      </c>
    </row>
    <row r="80" spans="1:8" ht="15.95" customHeight="1" x14ac:dyDescent="0.25">
      <c r="A80" s="1314" t="s">
        <v>205</v>
      </c>
      <c r="B80" s="1315"/>
      <c r="C80" s="1315"/>
      <c r="D80" s="1315"/>
      <c r="E80" s="1315"/>
      <c r="F80" s="597" t="s">
        <v>165</v>
      </c>
      <c r="G80" s="524">
        <v>39.92</v>
      </c>
      <c r="H80" s="543">
        <f>ROUND(G80+G80*'Løntabel gældende fra'!$D$7%,2)</f>
        <v>49.02</v>
      </c>
    </row>
    <row r="81" spans="1:8" ht="15.75" x14ac:dyDescent="0.25">
      <c r="A81" s="1224" t="s">
        <v>321</v>
      </c>
      <c r="B81" s="1225"/>
      <c r="C81" s="1225"/>
      <c r="D81" s="1225"/>
      <c r="E81" s="1225"/>
      <c r="F81" s="599" t="s">
        <v>166</v>
      </c>
      <c r="G81" s="524">
        <v>39.92</v>
      </c>
      <c r="H81" s="543">
        <f>ROUND(G81+G81*'Løntabel gældende fra'!$D$7%,2)</f>
        <v>49.02</v>
      </c>
    </row>
    <row r="82" spans="1:8" ht="15.75" x14ac:dyDescent="0.25">
      <c r="A82" s="1224" t="s">
        <v>322</v>
      </c>
      <c r="B82" s="1225"/>
      <c r="C82" s="1225"/>
      <c r="D82" s="1225"/>
      <c r="E82" s="1225"/>
      <c r="F82" s="599" t="s">
        <v>166</v>
      </c>
      <c r="G82" s="524">
        <v>91.84</v>
      </c>
      <c r="H82" s="543">
        <f>ROUND(G82+G82*'Løntabel gældende fra'!$D$7%,2)</f>
        <v>112.79</v>
      </c>
    </row>
    <row r="83" spans="1:8" ht="16.5" thickBot="1" x14ac:dyDescent="0.3">
      <c r="A83" s="1226" t="s">
        <v>323</v>
      </c>
      <c r="B83" s="1227"/>
      <c r="C83" s="1227"/>
      <c r="D83" s="1227"/>
      <c r="E83" s="1227"/>
      <c r="F83" s="600" t="s">
        <v>165</v>
      </c>
      <c r="G83" s="523">
        <v>39.92</v>
      </c>
      <c r="H83" s="542">
        <f>ROUND(G83+G83*'Løntabel gældende fra'!$D$7%,2)</f>
        <v>49.02</v>
      </c>
    </row>
    <row r="84" spans="1:8" ht="15.75" thickBot="1" x14ac:dyDescent="0.3">
      <c r="A84" s="261"/>
      <c r="B84" s="261"/>
      <c r="C84" s="261"/>
      <c r="D84" s="261"/>
      <c r="E84" s="261"/>
      <c r="F84" s="249"/>
      <c r="G84" s="249"/>
    </row>
    <row r="85" spans="1:8" ht="27" customHeight="1" thickBot="1" x14ac:dyDescent="0.3">
      <c r="A85" s="1305" t="s">
        <v>364</v>
      </c>
      <c r="B85" s="1306"/>
      <c r="C85" s="1306"/>
      <c r="D85" s="1306"/>
      <c r="E85" s="1306"/>
      <c r="F85" s="1306"/>
      <c r="G85" s="1306"/>
      <c r="H85" s="1307"/>
    </row>
    <row r="86" spans="1:8" ht="15.75" x14ac:dyDescent="0.25">
      <c r="A86" s="1264" t="s">
        <v>162</v>
      </c>
      <c r="B86" s="1265"/>
      <c r="C86" s="1265"/>
      <c r="D86" s="1266"/>
      <c r="E86" s="1308" t="s">
        <v>302</v>
      </c>
      <c r="F86" s="1308"/>
      <c r="G86" s="1245" t="s">
        <v>303</v>
      </c>
      <c r="H86" s="1246"/>
    </row>
    <row r="87" spans="1:8" ht="12.95" customHeight="1" thickBot="1" x14ac:dyDescent="0.3">
      <c r="A87" s="1267"/>
      <c r="B87" s="1268"/>
      <c r="C87" s="1268"/>
      <c r="D87" s="1269"/>
      <c r="E87" s="1252">
        <v>40999</v>
      </c>
      <c r="F87" s="1253"/>
      <c r="G87" s="1243" t="str">
        <f>'Løntabel gældende fra'!$D$1</f>
        <v>01/04/24</v>
      </c>
      <c r="H87" s="1244"/>
    </row>
    <row r="88" spans="1:8" ht="15" customHeight="1" x14ac:dyDescent="0.25">
      <c r="A88" s="1261" t="s">
        <v>386</v>
      </c>
      <c r="B88" s="1262"/>
      <c r="C88" s="1262"/>
      <c r="D88" s="1263"/>
      <c r="E88" s="1254">
        <v>138.5</v>
      </c>
      <c r="F88" s="1251"/>
      <c r="G88" s="1250">
        <f>ROUND(+E88*(1+'Løntabel gældende fra'!$D$7/100),2)</f>
        <v>170.09</v>
      </c>
      <c r="H88" s="1251"/>
    </row>
    <row r="89" spans="1:8" ht="16.5" thickBot="1" x14ac:dyDescent="0.3">
      <c r="A89" s="1257" t="s">
        <v>216</v>
      </c>
      <c r="B89" s="1258"/>
      <c r="C89" s="1258"/>
      <c r="D89" s="1259"/>
      <c r="E89" s="1255">
        <v>185</v>
      </c>
      <c r="F89" s="1256"/>
      <c r="G89" s="1241">
        <f>ROUND(+E89*(1+'Løntabel gældende fra'!$D$7/100),2)</f>
        <v>227.19</v>
      </c>
      <c r="H89" s="1242"/>
    </row>
    <row r="90" spans="1:8" ht="15.75" thickBot="1" x14ac:dyDescent="0.3">
      <c r="A90" s="40"/>
      <c r="B90" s="40"/>
      <c r="C90" s="40"/>
      <c r="D90" s="223"/>
      <c r="E90" s="223"/>
      <c r="F90" s="223"/>
      <c r="G90" s="223"/>
    </row>
    <row r="91" spans="1:8" ht="18.75" thickBot="1" x14ac:dyDescent="0.3">
      <c r="A91" s="1247" t="str">
        <f>"Unge under 18 år, pr. arbejdstime (60 minutter) pr. "&amp;'Løntabel gældende fra'!D1&amp;""</f>
        <v>Unge under 18 år, pr. arbejdstime (60 minutter) pr. 01/04/24</v>
      </c>
      <c r="B91" s="1248"/>
      <c r="C91" s="1248"/>
      <c r="D91" s="1248"/>
      <c r="E91" s="1248"/>
      <c r="F91" s="1249"/>
    </row>
    <row r="92" spans="1:8" ht="18.95" customHeight="1" thickBot="1" x14ac:dyDescent="0.3">
      <c r="A92" s="544" t="s">
        <v>157</v>
      </c>
      <c r="B92" s="545" t="s">
        <v>75</v>
      </c>
      <c r="C92" s="545" t="s">
        <v>76</v>
      </c>
      <c r="D92" s="545" t="s">
        <v>77</v>
      </c>
      <c r="E92" s="545" t="s">
        <v>78</v>
      </c>
      <c r="F92" s="546" t="s">
        <v>79</v>
      </c>
    </row>
    <row r="93" spans="1:8" ht="15.75" x14ac:dyDescent="0.25">
      <c r="A93" s="592" t="s">
        <v>158</v>
      </c>
      <c r="B93" s="547">
        <f>0.66*B10/160.33</f>
        <v>98.89227094118381</v>
      </c>
      <c r="C93" s="548">
        <f>0.66*C10/160.33</f>
        <v>100.99103224599263</v>
      </c>
      <c r="D93" s="548">
        <f>0.66*D10/160.33</f>
        <v>102.44448949042598</v>
      </c>
      <c r="E93" s="548">
        <f>0.66*E10/160.33</f>
        <v>104.54288030936193</v>
      </c>
      <c r="F93" s="549">
        <f>0.66*F10/160.33</f>
        <v>105.9963375537953</v>
      </c>
    </row>
    <row r="94" spans="1:8" ht="16.5" thickBot="1" x14ac:dyDescent="0.3">
      <c r="A94" s="540" t="s">
        <v>159</v>
      </c>
      <c r="B94" s="550">
        <f>0.74*B10/160.33</f>
        <v>110.87921287344851</v>
      </c>
      <c r="C94" s="551">
        <f>0.74*C10/160.33</f>
        <v>113.23236948793114</v>
      </c>
      <c r="D94" s="551">
        <f>0.74*D10/160.33</f>
        <v>114.86200336805338</v>
      </c>
      <c r="E94" s="551">
        <f>0.74*E10/160.33</f>
        <v>117.21474458928459</v>
      </c>
      <c r="F94" s="552">
        <f>0.74*F10/160.33</f>
        <v>118.84437846940685</v>
      </c>
    </row>
    <row r="95" spans="1:8" ht="15.75" thickBot="1" x14ac:dyDescent="0.3">
      <c r="A95" s="231"/>
      <c r="B95" s="232"/>
      <c r="C95" s="232"/>
      <c r="D95" s="232"/>
      <c r="E95" s="232"/>
      <c r="F95" s="232"/>
    </row>
    <row r="96" spans="1:8" ht="16.5" customHeight="1" thickBot="1" x14ac:dyDescent="0.3">
      <c r="A96" s="1305" t="s">
        <v>160</v>
      </c>
      <c r="B96" s="1306"/>
      <c r="C96" s="1306"/>
      <c r="D96" s="1306"/>
      <c r="E96" s="1306"/>
      <c r="F96" s="1306"/>
      <c r="G96" s="1307"/>
    </row>
    <row r="97" spans="1:8" ht="18.75" customHeight="1" x14ac:dyDescent="0.25">
      <c r="A97" s="1264" t="s">
        <v>161</v>
      </c>
      <c r="B97" s="1265"/>
      <c r="C97" s="1266"/>
      <c r="D97" s="1245" t="s">
        <v>101</v>
      </c>
      <c r="E97" s="1246"/>
      <c r="F97" s="1245" t="s">
        <v>243</v>
      </c>
      <c r="G97" s="1246"/>
    </row>
    <row r="98" spans="1:8" ht="16.5" thickBot="1" x14ac:dyDescent="0.3">
      <c r="A98" s="1267"/>
      <c r="B98" s="1268"/>
      <c r="C98" s="1269"/>
      <c r="D98" s="1243">
        <v>40999</v>
      </c>
      <c r="E98" s="1260"/>
      <c r="F98" s="1243" t="str">
        <f>'Løntabel gældende fra'!$D$1</f>
        <v>01/04/24</v>
      </c>
      <c r="G98" s="1244"/>
    </row>
    <row r="99" spans="1:8" ht="15.75" x14ac:dyDescent="0.25">
      <c r="A99" s="1261" t="s">
        <v>266</v>
      </c>
      <c r="B99" s="1262"/>
      <c r="C99" s="1263"/>
      <c r="D99" s="1254">
        <v>10704</v>
      </c>
      <c r="E99" s="1251"/>
      <c r="F99" s="1250">
        <f>ROUND(+D99*(1+'Løntabel gældende fra'!$D$7/100),2)</f>
        <v>13145.23</v>
      </c>
      <c r="G99" s="1251">
        <f>+E99*(1+'Løntabel gældende fra'!$D$7/100)</f>
        <v>0</v>
      </c>
    </row>
    <row r="100" spans="1:8" ht="16.5" thickBot="1" x14ac:dyDescent="0.3">
      <c r="A100" s="1257" t="s">
        <v>267</v>
      </c>
      <c r="B100" s="1258"/>
      <c r="C100" s="1259"/>
      <c r="D100" s="1255">
        <v>11039</v>
      </c>
      <c r="E100" s="1256"/>
      <c r="F100" s="1241">
        <f>ROUND(+D100*(1+'Løntabel gældende fra'!$D$7/100),2)</f>
        <v>13556.63</v>
      </c>
      <c r="G100" s="1242">
        <f>+E100*(1+'Løntabel gældende fra'!$D$7/100)</f>
        <v>0</v>
      </c>
    </row>
    <row r="101" spans="1:8" ht="15.75" x14ac:dyDescent="0.25">
      <c r="A101" s="553"/>
      <c r="B101" s="554"/>
      <c r="C101" s="554"/>
      <c r="D101" s="554"/>
      <c r="E101" s="554"/>
      <c r="F101" s="554"/>
      <c r="G101" s="555"/>
      <c r="H101" s="229"/>
    </row>
    <row r="102" spans="1:8" x14ac:dyDescent="0.25">
      <c r="F102" s="229"/>
    </row>
    <row r="103" spans="1:8" x14ac:dyDescent="0.25">
      <c r="A103" s="238"/>
      <c r="B103" s="238"/>
      <c r="C103" s="238"/>
      <c r="H103" s="230"/>
    </row>
    <row r="104" spans="1:8" x14ac:dyDescent="0.25">
      <c r="A104" s="230"/>
      <c r="B104" s="230"/>
      <c r="C104" s="230"/>
      <c r="D104" s="230"/>
      <c r="E104" s="230"/>
      <c r="F104" s="230"/>
      <c r="G104" s="230"/>
    </row>
  </sheetData>
  <sheetProtection sheet="1" objects="1" scenarios="1"/>
  <mergeCells count="101">
    <mergeCell ref="A1:H1"/>
    <mergeCell ref="A2:H2"/>
    <mergeCell ref="A3:H3"/>
    <mergeCell ref="G34:H34"/>
    <mergeCell ref="A5:F5"/>
    <mergeCell ref="A34:F34"/>
    <mergeCell ref="D99:E99"/>
    <mergeCell ref="F99:G99"/>
    <mergeCell ref="D45:E45"/>
    <mergeCell ref="F45:G45"/>
    <mergeCell ref="D46:E46"/>
    <mergeCell ref="F46:G46"/>
    <mergeCell ref="A96:G96"/>
    <mergeCell ref="D48:E48"/>
    <mergeCell ref="F48:G48"/>
    <mergeCell ref="A72:H72"/>
    <mergeCell ref="F77:F78"/>
    <mergeCell ref="A97:C98"/>
    <mergeCell ref="D97:E97"/>
    <mergeCell ref="E86:F86"/>
    <mergeCell ref="A85:H85"/>
    <mergeCell ref="G86:H86"/>
    <mergeCell ref="A88:D88"/>
    <mergeCell ref="A49:H49"/>
    <mergeCell ref="A35:H35"/>
    <mergeCell ref="H77:H78"/>
    <mergeCell ref="A6:H6"/>
    <mergeCell ref="G5:H5"/>
    <mergeCell ref="A43:H43"/>
    <mergeCell ref="A44:H44"/>
    <mergeCell ref="G77:G78"/>
    <mergeCell ref="A63:H63"/>
    <mergeCell ref="A64:H64"/>
    <mergeCell ref="A73:H73"/>
    <mergeCell ref="A77:E78"/>
    <mergeCell ref="A41:H42"/>
    <mergeCell ref="F47:G47"/>
    <mergeCell ref="A56:H56"/>
    <mergeCell ref="F54:G54"/>
    <mergeCell ref="A50:H50"/>
    <mergeCell ref="A51:H51"/>
    <mergeCell ref="D52:E52"/>
    <mergeCell ref="F52:G52"/>
    <mergeCell ref="D53:E53"/>
    <mergeCell ref="F53:G53"/>
    <mergeCell ref="D54:E54"/>
    <mergeCell ref="F100:G100"/>
    <mergeCell ref="F98:G98"/>
    <mergeCell ref="F97:G97"/>
    <mergeCell ref="A91:F91"/>
    <mergeCell ref="G87:H87"/>
    <mergeCell ref="G88:H88"/>
    <mergeCell ref="G89:H89"/>
    <mergeCell ref="E87:F87"/>
    <mergeCell ref="E88:F88"/>
    <mergeCell ref="E89:F89"/>
    <mergeCell ref="A100:C100"/>
    <mergeCell ref="D100:E100"/>
    <mergeCell ref="D98:E98"/>
    <mergeCell ref="A99:C99"/>
    <mergeCell ref="A86:D87"/>
    <mergeCell ref="A89:D89"/>
    <mergeCell ref="A82:E82"/>
    <mergeCell ref="A83:E83"/>
    <mergeCell ref="A76:E76"/>
    <mergeCell ref="A79:E79"/>
    <mergeCell ref="D47:E47"/>
    <mergeCell ref="A48:C48"/>
    <mergeCell ref="A47:C47"/>
    <mergeCell ref="A55:C55"/>
    <mergeCell ref="D55:E55"/>
    <mergeCell ref="A67:C67"/>
    <mergeCell ref="A68:C68"/>
    <mergeCell ref="A69:C69"/>
    <mergeCell ref="D65:E65"/>
    <mergeCell ref="D68:E68"/>
    <mergeCell ref="A80:E80"/>
    <mergeCell ref="A81:E81"/>
    <mergeCell ref="F55:G55"/>
    <mergeCell ref="A62:H62"/>
    <mergeCell ref="A54:C54"/>
    <mergeCell ref="A57:H57"/>
    <mergeCell ref="A58:H58"/>
    <mergeCell ref="A59:C61"/>
    <mergeCell ref="D59:E59"/>
    <mergeCell ref="F59:G59"/>
    <mergeCell ref="D60:E60"/>
    <mergeCell ref="F60:G60"/>
    <mergeCell ref="D61:E61"/>
    <mergeCell ref="F61:G61"/>
    <mergeCell ref="F68:G68"/>
    <mergeCell ref="A70:C70"/>
    <mergeCell ref="D69:E69"/>
    <mergeCell ref="F69:G69"/>
    <mergeCell ref="D70:E70"/>
    <mergeCell ref="F70:G70"/>
    <mergeCell ref="F65:G65"/>
    <mergeCell ref="D66:E66"/>
    <mergeCell ref="F66:G66"/>
    <mergeCell ref="D67:E67"/>
    <mergeCell ref="F67:G67"/>
  </mergeCells>
  <phoneticPr fontId="7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7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defaultColWidth="8.85546875" defaultRowHeight="12.75" x14ac:dyDescent="0.2"/>
  <cols>
    <col min="1" max="1" width="9" style="212" customWidth="1"/>
    <col min="2" max="3" width="11.140625" style="212" customWidth="1"/>
    <col min="4" max="4" width="11.28515625" style="212" customWidth="1"/>
    <col min="5" max="6" width="10.7109375" style="212" customWidth="1"/>
    <col min="7" max="7" width="10.140625" style="212" customWidth="1"/>
    <col min="8" max="8" width="10.85546875" style="212" customWidth="1"/>
    <col min="9" max="9" width="11.140625" style="212" customWidth="1"/>
    <col min="10" max="10" width="9.140625" style="212" customWidth="1"/>
    <col min="11" max="16384" width="8.85546875" style="212"/>
  </cols>
  <sheetData>
    <row r="1" spans="1:16" ht="20.25" x14ac:dyDescent="0.3">
      <c r="A1" s="1019" t="s">
        <v>19</v>
      </c>
      <c r="B1" s="1020"/>
      <c r="C1" s="1020"/>
      <c r="D1" s="1020"/>
      <c r="E1" s="1020"/>
      <c r="F1" s="1020"/>
      <c r="G1" s="1020"/>
      <c r="H1" s="1020"/>
      <c r="I1" s="1020"/>
      <c r="J1" s="1021"/>
    </row>
    <row r="2" spans="1:16" ht="20.25" x14ac:dyDescent="0.3">
      <c r="A2" s="1339" t="s">
        <v>189</v>
      </c>
      <c r="B2" s="1340"/>
      <c r="C2" s="1340"/>
      <c r="D2" s="1340"/>
      <c r="E2" s="1340"/>
      <c r="F2" s="1340"/>
      <c r="G2" s="1340"/>
      <c r="H2" s="1340"/>
      <c r="I2" s="1340"/>
      <c r="J2" s="1341"/>
    </row>
    <row r="3" spans="1:16" ht="21" thickBot="1" x14ac:dyDescent="0.35">
      <c r="A3" s="1290" t="s">
        <v>193</v>
      </c>
      <c r="B3" s="1291"/>
      <c r="C3" s="1291"/>
      <c r="D3" s="1291"/>
      <c r="E3" s="1291"/>
      <c r="F3" s="1291"/>
      <c r="G3" s="1291"/>
      <c r="H3" s="1291"/>
      <c r="I3" s="1291"/>
      <c r="J3" s="1292"/>
    </row>
    <row r="4" spans="1:16" ht="22.5" x14ac:dyDescent="0.3">
      <c r="A4" s="1345"/>
      <c r="B4" s="1346"/>
      <c r="C4" s="1346"/>
      <c r="D4" s="1346"/>
      <c r="E4" s="1346"/>
      <c r="F4" s="1346"/>
      <c r="G4" s="1346"/>
      <c r="H4" s="1346"/>
      <c r="I4" s="1346"/>
      <c r="J4" s="228"/>
    </row>
    <row r="5" spans="1:16" ht="47.25" customHeight="1" x14ac:dyDescent="0.3">
      <c r="A5" s="823" t="s">
        <v>207</v>
      </c>
      <c r="B5" s="824"/>
      <c r="C5" s="824"/>
      <c r="D5" s="824"/>
      <c r="E5" s="824"/>
      <c r="F5" s="824"/>
      <c r="G5" s="824"/>
      <c r="H5" s="824"/>
      <c r="I5" s="824"/>
      <c r="J5" s="228"/>
    </row>
    <row r="6" spans="1:16" ht="8.1" customHeight="1" x14ac:dyDescent="0.25">
      <c r="A6" s="252"/>
      <c r="B6" s="252"/>
      <c r="C6" s="252"/>
      <c r="D6" s="252"/>
      <c r="E6" s="252"/>
      <c r="F6" s="252"/>
      <c r="G6" s="252"/>
      <c r="H6" s="252"/>
      <c r="I6" s="252"/>
      <c r="J6" s="228"/>
      <c r="L6" s="239"/>
      <c r="M6" s="238"/>
      <c r="N6" s="238"/>
      <c r="O6" s="238"/>
      <c r="P6" s="238"/>
    </row>
    <row r="7" spans="1:16" ht="18" customHeight="1" thickBot="1" x14ac:dyDescent="0.3">
      <c r="A7" s="252"/>
      <c r="B7" s="252"/>
      <c r="C7" s="252"/>
      <c r="D7" s="252"/>
      <c r="E7" s="252"/>
      <c r="F7" s="252"/>
      <c r="G7" s="252"/>
      <c r="H7" s="252"/>
      <c r="I7" s="252"/>
      <c r="J7" s="228"/>
      <c r="L7" s="239"/>
      <c r="M7" s="238"/>
      <c r="N7" s="238"/>
      <c r="O7" s="238"/>
      <c r="P7" s="238"/>
    </row>
    <row r="8" spans="1:16" ht="18.75" thickBot="1" x14ac:dyDescent="0.3">
      <c r="A8" s="1342" t="s">
        <v>15</v>
      </c>
      <c r="B8" s="1343"/>
      <c r="C8" s="1343"/>
      <c r="D8" s="1343"/>
      <c r="E8" s="1343"/>
      <c r="F8" s="1344"/>
      <c r="G8" s="1247" t="s">
        <v>168</v>
      </c>
      <c r="H8" s="1248"/>
      <c r="I8" s="1248"/>
      <c r="J8" s="1249"/>
      <c r="L8" s="239"/>
      <c r="M8" s="238"/>
      <c r="N8" s="238"/>
      <c r="O8" s="238"/>
      <c r="P8" s="238"/>
    </row>
    <row r="9" spans="1:16" ht="38.25" x14ac:dyDescent="0.2">
      <c r="A9" s="427" t="s">
        <v>57</v>
      </c>
      <c r="B9" s="427" t="s">
        <v>75</v>
      </c>
      <c r="C9" s="430" t="s">
        <v>76</v>
      </c>
      <c r="D9" s="427" t="s">
        <v>77</v>
      </c>
      <c r="E9" s="427" t="s">
        <v>78</v>
      </c>
      <c r="F9" s="427" t="s">
        <v>79</v>
      </c>
      <c r="G9" s="431" t="s">
        <v>185</v>
      </c>
      <c r="H9" s="432" t="s">
        <v>186</v>
      </c>
      <c r="I9" s="432" t="s">
        <v>187</v>
      </c>
      <c r="J9" s="433">
        <v>0.14000000000000001</v>
      </c>
    </row>
    <row r="10" spans="1:16" ht="15" customHeight="1" x14ac:dyDescent="0.2">
      <c r="A10" s="344" t="s">
        <v>199</v>
      </c>
      <c r="B10" s="278">
        <f>+'Statens skalatrin'!D46+F24/12</f>
        <v>23493.777259916667</v>
      </c>
      <c r="C10" s="279">
        <f>+'Statens skalatrin'!F46+F24/12</f>
        <v>23978.857259916669</v>
      </c>
      <c r="D10" s="280">
        <f>+'Statens skalatrin'!H46+F24/12</f>
        <v>24314.607259916669</v>
      </c>
      <c r="E10" s="278">
        <f>+'Statens skalatrin'!J46+F24/12</f>
        <v>24799.607259916669</v>
      </c>
      <c r="F10" s="278">
        <f>+'Statens skalatrin'!L46+F24/12</f>
        <v>25135.357259916669</v>
      </c>
      <c r="G10" s="281">
        <f>+'Statens skalatrin'!O46+F24/12</f>
        <v>21978.947259916666</v>
      </c>
      <c r="H10" s="282">
        <f>J10*1/3</f>
        <v>1025.6842054627778</v>
      </c>
      <c r="I10" s="283">
        <f>J10*2/3</f>
        <v>2051.3684109255555</v>
      </c>
      <c r="J10" s="283">
        <f>G10*$J$9</f>
        <v>3077.0526163883333</v>
      </c>
    </row>
    <row r="11" spans="1:16" ht="15" customHeight="1" x14ac:dyDescent="0.2">
      <c r="A11" s="290">
        <v>17</v>
      </c>
      <c r="B11" s="278">
        <f>+'Statens skalatrin'!D55</f>
        <v>24459.5</v>
      </c>
      <c r="C11" s="279">
        <f>+'Statens skalatrin'!F55</f>
        <v>24982.33</v>
      </c>
      <c r="D11" s="280">
        <f>+'Statens skalatrin'!H55</f>
        <v>25344.33</v>
      </c>
      <c r="E11" s="278">
        <f>'Statens skalatrin'!J55</f>
        <v>25867.08</v>
      </c>
      <c r="F11" s="278">
        <f>+'Statens skalatrin'!L55</f>
        <v>26228.83</v>
      </c>
      <c r="G11" s="281">
        <f>+'Statens skalatrin'!O55</f>
        <v>22972.43</v>
      </c>
      <c r="H11" s="282">
        <f>J11*1/3</f>
        <v>1072.0467333333333</v>
      </c>
      <c r="I11" s="283">
        <f>J11*2/3</f>
        <v>2144.0934666666667</v>
      </c>
      <c r="J11" s="283">
        <f>G11*$J$9</f>
        <v>3216.1402000000003</v>
      </c>
    </row>
    <row r="12" spans="1:16" ht="17.100000000000001" customHeight="1" thickBot="1" x14ac:dyDescent="0.25">
      <c r="A12" s="291" t="s">
        <v>169</v>
      </c>
      <c r="B12" s="284">
        <f>+'Statens skalatrin'!D64+F25/12</f>
        <v>25646.86575983333</v>
      </c>
      <c r="C12" s="285">
        <f>+'Statens skalatrin'!F64+F25/12</f>
        <v>26210.445759833332</v>
      </c>
      <c r="D12" s="286">
        <f>+'Statens skalatrin'!H64+F25/12</f>
        <v>26600.775759833334</v>
      </c>
      <c r="E12" s="284">
        <f>+'Statens skalatrin'!J64+F25/12</f>
        <v>27164.445759833332</v>
      </c>
      <c r="F12" s="284">
        <f>+'Statens skalatrin'!L64+F25/12</f>
        <v>27554.525759833334</v>
      </c>
      <c r="G12" s="287">
        <f>+'Statens skalatrin'!O64+F25/12</f>
        <v>24324.285759833332</v>
      </c>
      <c r="H12" s="288">
        <f>J12*1/3</f>
        <v>1135.133335458889</v>
      </c>
      <c r="I12" s="289">
        <f>J12*2/3</f>
        <v>2270.2666709177779</v>
      </c>
      <c r="J12" s="289">
        <f>G12*$J$9</f>
        <v>3405.4000063766666</v>
      </c>
    </row>
    <row r="13" spans="1:16" ht="17.100000000000001" customHeight="1" x14ac:dyDescent="0.2">
      <c r="A13" s="238" t="s">
        <v>208</v>
      </c>
      <c r="B13" s="232"/>
      <c r="C13" s="232"/>
      <c r="D13" s="232"/>
      <c r="E13" s="232"/>
      <c r="F13" s="232"/>
      <c r="G13" s="255"/>
      <c r="H13" s="256"/>
      <c r="I13" s="257"/>
      <c r="J13" s="257"/>
    </row>
    <row r="14" spans="1:16" ht="15.95" customHeight="1" thickBot="1" x14ac:dyDescent="0.3">
      <c r="A14" s="252"/>
      <c r="B14" s="252"/>
      <c r="C14" s="252"/>
      <c r="D14" s="252"/>
      <c r="E14" s="252"/>
      <c r="F14" s="252"/>
      <c r="G14" s="252"/>
      <c r="H14" s="252"/>
      <c r="I14" s="252"/>
      <c r="J14" s="228"/>
      <c r="L14" s="254"/>
    </row>
    <row r="15" spans="1:16" ht="15.95" customHeight="1" thickBot="1" x14ac:dyDescent="0.3">
      <c r="A15" s="1247" t="s">
        <v>170</v>
      </c>
      <c r="B15" s="1248"/>
      <c r="C15" s="1248"/>
      <c r="D15" s="1248"/>
      <c r="E15" s="1248"/>
      <c r="F15" s="1249"/>
      <c r="G15" s="238"/>
      <c r="H15" s="238"/>
      <c r="I15" s="238"/>
      <c r="J15" s="228"/>
      <c r="L15" s="254"/>
    </row>
    <row r="16" spans="1:16" ht="15.95" customHeight="1" thickBot="1" x14ac:dyDescent="0.3">
      <c r="A16" s="242" t="s">
        <v>171</v>
      </c>
      <c r="B16" s="243"/>
      <c r="C16" s="243"/>
      <c r="D16" s="243"/>
      <c r="E16" s="243"/>
      <c r="F16" s="244"/>
      <c r="G16" s="238"/>
      <c r="H16" s="238"/>
      <c r="I16" s="238"/>
      <c r="J16" s="228"/>
      <c r="L16" s="254"/>
    </row>
    <row r="17" spans="1:10" ht="15.95" customHeight="1" x14ac:dyDescent="0.25">
      <c r="A17" s="427" t="s">
        <v>57</v>
      </c>
      <c r="B17" s="428" t="s">
        <v>75</v>
      </c>
      <c r="C17" s="427" t="s">
        <v>76</v>
      </c>
      <c r="D17" s="428" t="s">
        <v>77</v>
      </c>
      <c r="E17" s="427" t="s">
        <v>78</v>
      </c>
      <c r="F17" s="429" t="s">
        <v>79</v>
      </c>
      <c r="G17" s="238"/>
      <c r="H17" s="238"/>
      <c r="I17" s="238"/>
      <c r="J17" s="228"/>
    </row>
    <row r="18" spans="1:10" ht="15.95" customHeight="1" thickBot="1" x14ac:dyDescent="0.3">
      <c r="A18" s="295">
        <v>14</v>
      </c>
      <c r="B18" s="292">
        <f>B10*12/1924</f>
        <v>146.53083530093556</v>
      </c>
      <c r="C18" s="293">
        <f>C10*12/1924</f>
        <v>149.55628228638255</v>
      </c>
      <c r="D18" s="292">
        <f>D10*12/1924</f>
        <v>151.65035713045739</v>
      </c>
      <c r="E18" s="293">
        <f>E10*12/1924</f>
        <v>154.67530515540543</v>
      </c>
      <c r="F18" s="294">
        <f>F10*12/1924</f>
        <v>156.76937999948026</v>
      </c>
      <c r="G18" s="238"/>
      <c r="H18" s="237"/>
      <c r="I18" s="237"/>
      <c r="J18" s="228"/>
    </row>
    <row r="19" spans="1:10" ht="15" customHeight="1" x14ac:dyDescent="0.25">
      <c r="A19" s="247"/>
      <c r="B19" s="246"/>
      <c r="C19" s="246"/>
      <c r="D19" s="246"/>
      <c r="E19" s="246"/>
      <c r="F19" s="246"/>
      <c r="G19" s="238"/>
      <c r="H19" s="237"/>
      <c r="I19" s="237"/>
      <c r="J19" s="228"/>
    </row>
    <row r="20" spans="1:10" ht="12.95" customHeight="1" thickBot="1" x14ac:dyDescent="0.3">
      <c r="A20" s="247"/>
      <c r="B20" s="246"/>
      <c r="C20" s="246"/>
      <c r="D20" s="246"/>
      <c r="E20" s="246"/>
      <c r="F20" s="246"/>
      <c r="G20" s="238"/>
      <c r="H20" s="237"/>
      <c r="I20" s="237"/>
      <c r="J20" s="228"/>
    </row>
    <row r="21" spans="1:10" ht="15" customHeight="1" thickBot="1" x14ac:dyDescent="0.3">
      <c r="A21" s="911" t="s">
        <v>163</v>
      </c>
      <c r="B21" s="912"/>
      <c r="C21" s="912"/>
      <c r="D21" s="912"/>
      <c r="E21" s="912"/>
      <c r="F21" s="913"/>
      <c r="G21" s="206"/>
      <c r="H21" s="206"/>
      <c r="I21" s="206"/>
      <c r="J21" s="228"/>
    </row>
    <row r="22" spans="1:10" ht="15" customHeight="1" x14ac:dyDescent="0.25">
      <c r="A22" s="1316" t="s">
        <v>182</v>
      </c>
      <c r="B22" s="1317"/>
      <c r="C22" s="1317"/>
      <c r="D22" s="1317"/>
      <c r="E22" s="421" t="s">
        <v>98</v>
      </c>
      <c r="F22" s="425" t="s">
        <v>103</v>
      </c>
      <c r="G22" s="249"/>
      <c r="H22" s="238"/>
      <c r="I22" s="238"/>
      <c r="J22" s="228"/>
    </row>
    <row r="23" spans="1:10" ht="15" customHeight="1" thickBot="1" x14ac:dyDescent="0.3">
      <c r="A23" s="1319"/>
      <c r="B23" s="1320"/>
      <c r="C23" s="1320"/>
      <c r="D23" s="1320"/>
      <c r="E23" s="423">
        <v>40999</v>
      </c>
      <c r="F23" s="426" t="str">
        <f>'Løntabel gældende fra'!$D$1</f>
        <v>01/04/24</v>
      </c>
      <c r="G23" s="249"/>
      <c r="H23" s="238"/>
      <c r="I23" s="238"/>
      <c r="J23" s="228"/>
    </row>
    <row r="24" spans="1:10" ht="15" customHeight="1" thickBot="1" x14ac:dyDescent="0.3">
      <c r="A24" s="1349" t="s">
        <v>198</v>
      </c>
      <c r="B24" s="1350"/>
      <c r="C24" s="1350"/>
      <c r="D24" s="401"/>
      <c r="E24" s="304">
        <v>1957</v>
      </c>
      <c r="F24" s="296">
        <f>E24+E24*'Løntabel gældende fra'!$D$7%</f>
        <v>2403.327119</v>
      </c>
      <c r="G24" s="249"/>
      <c r="H24" s="238"/>
      <c r="I24" s="238"/>
      <c r="J24" s="228"/>
    </row>
    <row r="25" spans="1:10" ht="15" customHeight="1" thickBot="1" x14ac:dyDescent="0.3">
      <c r="A25" s="1347" t="s">
        <v>183</v>
      </c>
      <c r="B25" s="1348"/>
      <c r="C25" s="1348"/>
      <c r="D25" s="402"/>
      <c r="E25" s="304">
        <v>554</v>
      </c>
      <c r="F25" s="296">
        <f>E25+E25*'Løntabel gældende fra'!$D$7%</f>
        <v>680.34911799999998</v>
      </c>
      <c r="G25" s="249"/>
      <c r="H25" s="238"/>
      <c r="I25" s="238"/>
      <c r="J25" s="228"/>
    </row>
    <row r="26" spans="1:10" ht="15" customHeight="1" x14ac:dyDescent="0.25">
      <c r="A26" s="248"/>
      <c r="B26" s="246"/>
      <c r="C26" s="246"/>
      <c r="D26" s="246"/>
      <c r="E26" s="246"/>
      <c r="F26" s="246"/>
      <c r="G26" s="238"/>
      <c r="H26" s="238"/>
      <c r="I26" s="238"/>
      <c r="J26" s="228"/>
    </row>
    <row r="27" spans="1:10" ht="15" customHeight="1" thickBot="1" x14ac:dyDescent="0.3">
      <c r="A27" s="248"/>
      <c r="B27" s="246"/>
      <c r="C27" s="246"/>
      <c r="D27" s="246"/>
      <c r="E27" s="246"/>
      <c r="F27" s="246"/>
      <c r="G27" s="238"/>
      <c r="H27" s="238"/>
      <c r="I27" s="238"/>
      <c r="J27" s="228"/>
    </row>
    <row r="28" spans="1:10" ht="15" customHeight="1" thickBot="1" x14ac:dyDescent="0.3">
      <c r="A28" s="911" t="s">
        <v>172</v>
      </c>
      <c r="B28" s="912"/>
      <c r="C28" s="912"/>
      <c r="D28" s="912"/>
      <c r="E28" s="912"/>
      <c r="F28" s="912"/>
      <c r="G28" s="912"/>
      <c r="H28" s="912"/>
      <c r="I28" s="913"/>
      <c r="J28" s="228"/>
    </row>
    <row r="29" spans="1:10" ht="15" customHeight="1" thickBot="1" x14ac:dyDescent="0.3">
      <c r="A29" s="1324"/>
      <c r="B29" s="1325"/>
      <c r="C29" s="1325"/>
      <c r="D29" s="1325"/>
      <c r="E29" s="1325"/>
      <c r="F29" s="1325"/>
      <c r="G29" s="1325"/>
      <c r="H29" s="421" t="s">
        <v>98</v>
      </c>
      <c r="I29" s="422" t="s">
        <v>103</v>
      </c>
      <c r="J29" s="228"/>
    </row>
    <row r="30" spans="1:10" ht="15" customHeight="1" thickBot="1" x14ac:dyDescent="0.3">
      <c r="A30" s="1326"/>
      <c r="B30" s="1327"/>
      <c r="C30" s="1327"/>
      <c r="D30" s="1327"/>
      <c r="E30" s="1327"/>
      <c r="F30" s="1327"/>
      <c r="G30" s="1328"/>
      <c r="H30" s="423">
        <v>40999</v>
      </c>
      <c r="I30" s="424" t="str">
        <f>'Løntabel gældende fra'!$D$1</f>
        <v>01/04/24</v>
      </c>
      <c r="J30" s="228"/>
    </row>
    <row r="31" spans="1:10" ht="15" customHeight="1" x14ac:dyDescent="0.25">
      <c r="A31" s="1329" t="s">
        <v>173</v>
      </c>
      <c r="B31" s="1330"/>
      <c r="C31" s="1330"/>
      <c r="D31" s="1330"/>
      <c r="E31" s="1330"/>
      <c r="F31" s="233"/>
      <c r="G31" s="235" t="s">
        <v>165</v>
      </c>
      <c r="H31" s="297">
        <v>22.32</v>
      </c>
      <c r="I31" s="298">
        <f>H31+H31*'Løntabel gældende fra'!$D$7%</f>
        <v>27.41045544</v>
      </c>
      <c r="J31" s="228"/>
    </row>
    <row r="32" spans="1:10" ht="15" customHeight="1" x14ac:dyDescent="0.25">
      <c r="A32" s="1337" t="s">
        <v>174</v>
      </c>
      <c r="B32" s="1338"/>
      <c r="C32" s="1338"/>
      <c r="D32" s="1338"/>
      <c r="E32" s="1338"/>
      <c r="F32" s="253"/>
      <c r="G32" s="236" t="s">
        <v>165</v>
      </c>
      <c r="H32" s="299">
        <v>39.921999999999997</v>
      </c>
      <c r="I32" s="300">
        <f>H32+H32*'Løntabel gældende fra'!$D$7%</f>
        <v>49.026890773999995</v>
      </c>
      <c r="J32" s="228"/>
    </row>
    <row r="33" spans="1:10" ht="26.1" customHeight="1" x14ac:dyDescent="0.25">
      <c r="A33" s="1329" t="s">
        <v>175</v>
      </c>
      <c r="B33" s="1330"/>
      <c r="C33" s="1330"/>
      <c r="D33" s="1330"/>
      <c r="E33" s="1330"/>
      <c r="F33" s="1330"/>
      <c r="G33" s="236" t="s">
        <v>165</v>
      </c>
      <c r="H33" s="299">
        <v>39.92</v>
      </c>
      <c r="I33" s="300">
        <f>H33+H33*'Løntabel gældende fra'!$D$7%</f>
        <v>49.024434640000003</v>
      </c>
      <c r="J33" s="228"/>
    </row>
    <row r="34" spans="1:10" ht="15" customHeight="1" thickBot="1" x14ac:dyDescent="0.3">
      <c r="A34" s="266" t="s">
        <v>164</v>
      </c>
      <c r="B34" s="265"/>
      <c r="C34" s="265"/>
      <c r="D34" s="265"/>
      <c r="E34" s="250"/>
      <c r="F34" s="250"/>
      <c r="G34" s="260" t="s">
        <v>165</v>
      </c>
      <c r="H34" s="301">
        <v>39.921999999999997</v>
      </c>
      <c r="I34" s="302">
        <f>H34+H34*'Løntabel gældende fra'!$D$7%</f>
        <v>49.026890773999995</v>
      </c>
      <c r="J34" s="228"/>
    </row>
    <row r="35" spans="1:10" ht="15" customHeight="1" x14ac:dyDescent="0.25">
      <c r="A35" s="259"/>
      <c r="B35" s="259"/>
      <c r="C35" s="259"/>
      <c r="D35" s="259"/>
      <c r="E35" s="259"/>
      <c r="F35" s="259"/>
      <c r="G35" s="259"/>
      <c r="H35" s="223"/>
      <c r="I35" s="258"/>
      <c r="J35" s="228"/>
    </row>
    <row r="36" spans="1:10" ht="15" customHeight="1" thickBot="1" x14ac:dyDescent="0.3">
      <c r="A36" s="259"/>
      <c r="B36" s="259"/>
      <c r="C36" s="259"/>
      <c r="D36" s="259"/>
      <c r="E36" s="259"/>
      <c r="F36" s="259"/>
      <c r="G36" s="259"/>
      <c r="H36" s="223"/>
      <c r="I36" s="258"/>
      <c r="J36" s="228"/>
    </row>
    <row r="37" spans="1:10" ht="15" customHeight="1" thickBot="1" x14ac:dyDescent="0.25">
      <c r="A37" s="911" t="s">
        <v>176</v>
      </c>
      <c r="B37" s="912"/>
      <c r="C37" s="912"/>
      <c r="D37" s="912"/>
      <c r="E37" s="912"/>
      <c r="F37" s="912"/>
      <c r="G37" s="912"/>
      <c r="H37" s="912"/>
      <c r="I37" s="913"/>
      <c r="J37" s="238"/>
    </row>
    <row r="38" spans="1:10" ht="15" customHeight="1" thickBot="1" x14ac:dyDescent="0.25">
      <c r="A38" s="1324"/>
      <c r="B38" s="1325"/>
      <c r="C38" s="1325"/>
      <c r="D38" s="1325"/>
      <c r="E38" s="1325"/>
      <c r="F38" s="1325"/>
      <c r="G38" s="1325"/>
      <c r="H38" s="421" t="s">
        <v>98</v>
      </c>
      <c r="I38" s="422" t="s">
        <v>103</v>
      </c>
      <c r="J38" s="238"/>
    </row>
    <row r="39" spans="1:10" ht="15" customHeight="1" thickBot="1" x14ac:dyDescent="0.25">
      <c r="A39" s="1326"/>
      <c r="B39" s="1327"/>
      <c r="C39" s="1327"/>
      <c r="D39" s="1327"/>
      <c r="E39" s="1327"/>
      <c r="F39" s="1327"/>
      <c r="G39" s="1328"/>
      <c r="H39" s="423">
        <v>40999</v>
      </c>
      <c r="I39" s="424" t="str">
        <f>'Løntabel gældende fra'!$D$1</f>
        <v>01/04/24</v>
      </c>
      <c r="J39" s="238"/>
    </row>
    <row r="40" spans="1:10" ht="15" customHeight="1" thickBot="1" x14ac:dyDescent="0.25">
      <c r="A40" s="1322" t="s">
        <v>177</v>
      </c>
      <c r="B40" s="1323"/>
      <c r="C40" s="1323"/>
      <c r="D40" s="1323"/>
      <c r="E40" s="1323"/>
      <c r="F40" s="234"/>
      <c r="G40" s="245" t="s">
        <v>165</v>
      </c>
      <c r="H40" s="303">
        <v>6.88</v>
      </c>
      <c r="I40" s="296">
        <f>H40+H40*'Løntabel gældende fra'!$D$7%</f>
        <v>8.4491009599999991</v>
      </c>
      <c r="J40" s="238"/>
    </row>
    <row r="41" spans="1:10" ht="15" customHeight="1" x14ac:dyDescent="0.25">
      <c r="A41" s="228"/>
      <c r="B41" s="228"/>
      <c r="C41" s="228"/>
      <c r="D41" s="228"/>
      <c r="E41" s="228"/>
      <c r="F41" s="229"/>
      <c r="G41" s="228"/>
      <c r="H41" s="229"/>
      <c r="I41" s="228"/>
      <c r="J41" s="238"/>
    </row>
    <row r="42" spans="1:10" ht="15" customHeight="1" thickBot="1" x14ac:dyDescent="0.3">
      <c r="A42" s="228"/>
      <c r="B42" s="228"/>
      <c r="C42" s="228"/>
      <c r="D42" s="228"/>
      <c r="E42" s="228"/>
      <c r="F42" s="229"/>
      <c r="G42" s="228"/>
      <c r="H42" s="229"/>
      <c r="I42" s="228"/>
      <c r="J42" s="238"/>
    </row>
    <row r="43" spans="1:10" ht="15" customHeight="1" thickBot="1" x14ac:dyDescent="0.25">
      <c r="A43" s="911" t="s">
        <v>178</v>
      </c>
      <c r="B43" s="912"/>
      <c r="C43" s="912"/>
      <c r="D43" s="912"/>
      <c r="E43" s="912"/>
      <c r="F43" s="912"/>
      <c r="G43" s="912"/>
      <c r="H43" s="912"/>
      <c r="I43" s="913"/>
      <c r="J43" s="238"/>
    </row>
    <row r="44" spans="1:10" ht="15" customHeight="1" x14ac:dyDescent="0.2">
      <c r="A44" s="1331"/>
      <c r="B44" s="1332"/>
      <c r="C44" s="1332"/>
      <c r="D44" s="1332"/>
      <c r="E44" s="1332"/>
      <c r="F44" s="1332"/>
      <c r="G44" s="1333"/>
      <c r="H44" s="421" t="s">
        <v>98</v>
      </c>
      <c r="I44" s="422" t="s">
        <v>103</v>
      </c>
      <c r="J44" s="238"/>
    </row>
    <row r="45" spans="1:10" ht="15" customHeight="1" thickBot="1" x14ac:dyDescent="0.25">
      <c r="A45" s="1334"/>
      <c r="B45" s="1335"/>
      <c r="C45" s="1335"/>
      <c r="D45" s="1335"/>
      <c r="E45" s="1335"/>
      <c r="F45" s="1335"/>
      <c r="G45" s="1336"/>
      <c r="H45" s="423">
        <v>40999</v>
      </c>
      <c r="I45" s="424" t="str">
        <f>'Løntabel gældende fra'!$D$1</f>
        <v>01/04/24</v>
      </c>
      <c r="J45" s="238"/>
    </row>
    <row r="46" spans="1:10" ht="15" customHeight="1" thickBot="1" x14ac:dyDescent="0.25">
      <c r="A46" s="1322" t="s">
        <v>190</v>
      </c>
      <c r="B46" s="1323"/>
      <c r="C46" s="1323"/>
      <c r="D46" s="1323"/>
      <c r="E46" s="1323"/>
      <c r="F46" s="234"/>
      <c r="G46" s="245"/>
      <c r="H46" s="303">
        <v>655</v>
      </c>
      <c r="I46" s="296">
        <f>H46+H46*'Løntabel gældende fra'!$D$7%</f>
        <v>804.38388499999996</v>
      </c>
      <c r="J46" s="238"/>
    </row>
    <row r="47" spans="1:10" ht="15" customHeight="1" x14ac:dyDescent="0.25">
      <c r="A47" s="228"/>
      <c r="B47" s="228"/>
      <c r="C47" s="228"/>
      <c r="D47" s="228"/>
      <c r="E47" s="228"/>
      <c r="F47" s="229"/>
      <c r="G47" s="228"/>
      <c r="H47" s="229"/>
      <c r="I47" s="228"/>
      <c r="J47" s="238"/>
    </row>
    <row r="48" spans="1:10" ht="15" customHeight="1" thickBot="1" x14ac:dyDescent="0.3">
      <c r="A48" s="228"/>
      <c r="B48" s="228"/>
      <c r="C48" s="228"/>
      <c r="D48" s="228"/>
      <c r="E48" s="228"/>
      <c r="F48" s="229"/>
      <c r="G48" s="228"/>
      <c r="H48" s="229"/>
      <c r="I48" s="228"/>
      <c r="J48" s="238"/>
    </row>
    <row r="49" spans="1:10" ht="15" customHeight="1" thickBot="1" x14ac:dyDescent="0.25">
      <c r="A49" s="911" t="s">
        <v>179</v>
      </c>
      <c r="B49" s="912"/>
      <c r="C49" s="912"/>
      <c r="D49" s="912"/>
      <c r="E49" s="912"/>
      <c r="F49" s="912"/>
      <c r="G49" s="912"/>
      <c r="H49" s="912"/>
      <c r="I49" s="913"/>
      <c r="J49" s="238"/>
    </row>
    <row r="50" spans="1:10" ht="15" customHeight="1" x14ac:dyDescent="0.2">
      <c r="A50" s="1316" t="s">
        <v>181</v>
      </c>
      <c r="B50" s="1317"/>
      <c r="C50" s="1317"/>
      <c r="D50" s="1317"/>
      <c r="E50" s="1317"/>
      <c r="F50" s="1317"/>
      <c r="G50" s="1318"/>
      <c r="H50" s="421" t="s">
        <v>98</v>
      </c>
      <c r="I50" s="422" t="s">
        <v>103</v>
      </c>
      <c r="J50" s="238"/>
    </row>
    <row r="51" spans="1:10" ht="15" customHeight="1" thickBot="1" x14ac:dyDescent="0.25">
      <c r="A51" s="1319"/>
      <c r="B51" s="1320"/>
      <c r="C51" s="1320"/>
      <c r="D51" s="1320"/>
      <c r="E51" s="1320"/>
      <c r="F51" s="1320"/>
      <c r="G51" s="1321"/>
      <c r="H51" s="423">
        <v>40999</v>
      </c>
      <c r="I51" s="424" t="str">
        <f>'Løntabel gældende fra'!$D$1</f>
        <v>01/04/24</v>
      </c>
      <c r="J51" s="238"/>
    </row>
    <row r="52" spans="1:10" ht="15" customHeight="1" thickBot="1" x14ac:dyDescent="0.25">
      <c r="A52" s="1322" t="s">
        <v>180</v>
      </c>
      <c r="B52" s="1323"/>
      <c r="C52" s="1323"/>
      <c r="D52" s="1323"/>
      <c r="E52" s="1323"/>
      <c r="F52" s="234"/>
      <c r="G52" s="245"/>
      <c r="H52" s="303">
        <v>0</v>
      </c>
      <c r="I52" s="296">
        <f>H52+H52*'Løntabel gældende fra'!$D$7%</f>
        <v>0</v>
      </c>
      <c r="J52" s="238"/>
    </row>
    <row r="53" spans="1:10" ht="15" customHeight="1" x14ac:dyDescent="0.25">
      <c r="A53" s="228"/>
      <c r="B53" s="228"/>
      <c r="C53" s="228"/>
      <c r="D53" s="228"/>
      <c r="E53" s="228"/>
      <c r="F53" s="229"/>
      <c r="G53" s="228"/>
      <c r="H53" s="229"/>
      <c r="I53" s="228"/>
      <c r="J53" s="238"/>
    </row>
    <row r="54" spans="1:10" ht="15" customHeight="1" thickBot="1" x14ac:dyDescent="0.3">
      <c r="A54" s="228"/>
      <c r="B54" s="228"/>
      <c r="C54" s="228"/>
      <c r="D54" s="228"/>
      <c r="E54" s="228"/>
      <c r="F54" s="229"/>
      <c r="G54" s="228"/>
      <c r="H54" s="229"/>
      <c r="I54" s="228"/>
      <c r="J54" s="238"/>
    </row>
    <row r="55" spans="1:10" s="238" customFormat="1" ht="18.75" thickBot="1" x14ac:dyDescent="0.25">
      <c r="A55" s="911" t="s">
        <v>184</v>
      </c>
      <c r="B55" s="912"/>
      <c r="C55" s="912"/>
      <c r="D55" s="912"/>
      <c r="E55" s="912"/>
      <c r="F55" s="912"/>
      <c r="G55" s="912"/>
      <c r="H55" s="912"/>
      <c r="I55" s="913"/>
    </row>
    <row r="56" spans="1:10" s="238" customFormat="1" ht="14.25" x14ac:dyDescent="0.2">
      <c r="A56" s="1316"/>
      <c r="B56" s="1317"/>
      <c r="C56" s="1317"/>
      <c r="D56" s="1317"/>
      <c r="E56" s="1317"/>
      <c r="F56" s="1317"/>
      <c r="G56" s="1318"/>
      <c r="H56" s="421" t="s">
        <v>98</v>
      </c>
      <c r="I56" s="422" t="s">
        <v>103</v>
      </c>
    </row>
    <row r="57" spans="1:10" s="238" customFormat="1" ht="15" thickBot="1" x14ac:dyDescent="0.25">
      <c r="A57" s="1319"/>
      <c r="B57" s="1320"/>
      <c r="C57" s="1320"/>
      <c r="D57" s="1320"/>
      <c r="E57" s="1320"/>
      <c r="F57" s="1320"/>
      <c r="G57" s="1321"/>
      <c r="H57" s="423">
        <v>40999</v>
      </c>
      <c r="I57" s="424" t="str">
        <f>'Løntabel gældende fra'!$D$1</f>
        <v>01/04/24</v>
      </c>
    </row>
    <row r="58" spans="1:10" s="238" customFormat="1" ht="15" thickBot="1" x14ac:dyDescent="0.25">
      <c r="A58" s="1322" t="s">
        <v>184</v>
      </c>
      <c r="B58" s="1323"/>
      <c r="C58" s="1323"/>
      <c r="D58" s="1323"/>
      <c r="E58" s="1323"/>
      <c r="F58" s="234"/>
      <c r="G58" s="245"/>
      <c r="H58" s="303">
        <v>10500</v>
      </c>
      <c r="I58" s="304">
        <f>H58+H58*'Løntabel gældende fra'!$D$7%</f>
        <v>12894.7035</v>
      </c>
    </row>
    <row r="59" spans="1:10" s="264" customFormat="1" ht="14.25" x14ac:dyDescent="0.2">
      <c r="A59" s="261"/>
      <c r="B59" s="261"/>
      <c r="C59" s="261"/>
      <c r="D59" s="261"/>
      <c r="E59" s="261"/>
      <c r="F59" s="249"/>
      <c r="G59" s="249"/>
      <c r="H59" s="262"/>
      <c r="I59" s="263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  <mergeCell ref="A33:F33"/>
    <mergeCell ref="A43:I43"/>
    <mergeCell ref="A44:G45"/>
    <mergeCell ref="A49:I49"/>
    <mergeCell ref="A50:G51"/>
    <mergeCell ref="A56:G57"/>
    <mergeCell ref="A58:E58"/>
    <mergeCell ref="A46:E46"/>
    <mergeCell ref="A52:E52"/>
    <mergeCell ref="A37:I37"/>
    <mergeCell ref="A38:G39"/>
    <mergeCell ref="A40:E40"/>
    <mergeCell ref="A55:I55"/>
  </mergeCells>
  <phoneticPr fontId="7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4"/>
  <sheetViews>
    <sheetView zoomScale="125" zoomScaleNormal="125" zoomScalePageLayoutView="125" workbookViewId="0">
      <selection activeCell="H12" sqref="H12"/>
    </sheetView>
  </sheetViews>
  <sheetFormatPr defaultColWidth="8.85546875" defaultRowHeight="12.75" x14ac:dyDescent="0.2"/>
  <cols>
    <col min="1" max="1" width="13.28515625" style="212" customWidth="1"/>
    <col min="2" max="2" width="15" style="212" customWidth="1"/>
    <col min="3" max="3" width="16.28515625" style="212" customWidth="1"/>
    <col min="4" max="4" width="16.140625" style="213" customWidth="1"/>
    <col min="5" max="5" width="17.28515625" style="212" customWidth="1"/>
    <col min="6" max="6" width="13.7109375" style="214" customWidth="1"/>
    <col min="7" max="7" width="0.28515625" style="214" customWidth="1"/>
    <col min="8" max="8" width="10.7109375" style="212" customWidth="1"/>
    <col min="9" max="16384" width="8.85546875" style="212"/>
  </cols>
  <sheetData>
    <row r="1" spans="1:9" s="2" customFormat="1" ht="21.95" customHeight="1" x14ac:dyDescent="0.3">
      <c r="A1" s="1019" t="s">
        <v>19</v>
      </c>
      <c r="B1" s="1020"/>
      <c r="C1" s="1020"/>
      <c r="D1" s="1020"/>
      <c r="E1" s="1020"/>
      <c r="F1" s="1020"/>
      <c r="G1" s="1021"/>
      <c r="H1" s="384"/>
      <c r="I1" s="39"/>
    </row>
    <row r="2" spans="1:9" s="2" customFormat="1" ht="75.95" customHeight="1" x14ac:dyDescent="0.3">
      <c r="A2" s="1339" t="s">
        <v>148</v>
      </c>
      <c r="B2" s="1340"/>
      <c r="C2" s="1340"/>
      <c r="D2" s="1340"/>
      <c r="E2" s="1340"/>
      <c r="F2" s="1340"/>
      <c r="G2" s="1341"/>
      <c r="H2" s="383"/>
    </row>
    <row r="3" spans="1:9" s="2" customFormat="1" ht="27.95" customHeight="1" thickBot="1" x14ac:dyDescent="0.35">
      <c r="A3" s="1290" t="s">
        <v>193</v>
      </c>
      <c r="B3" s="1291"/>
      <c r="C3" s="1291"/>
      <c r="D3" s="1291"/>
      <c r="E3" s="1291"/>
      <c r="F3" s="1291"/>
      <c r="G3" s="1292"/>
      <c r="H3" s="384"/>
    </row>
    <row r="4" spans="1:9" ht="12" customHeight="1" thickBot="1" x14ac:dyDescent="0.35">
      <c r="A4" s="1352"/>
      <c r="B4" s="1352"/>
      <c r="C4" s="1352"/>
      <c r="D4" s="1352"/>
      <c r="E4" s="1352"/>
      <c r="F4" s="1352"/>
      <c r="G4" s="1352"/>
    </row>
    <row r="5" spans="1:9" ht="18.75" thickBot="1" x14ac:dyDescent="0.25">
      <c r="A5" s="443" t="s">
        <v>151</v>
      </c>
      <c r="B5" s="444"/>
      <c r="C5" s="444"/>
      <c r="D5" s="444"/>
      <c r="E5" s="444"/>
      <c r="F5" s="385"/>
      <c r="G5" s="445"/>
    </row>
    <row r="6" spans="1:9" ht="30" customHeight="1" x14ac:dyDescent="0.25">
      <c r="A6" s="918" t="s">
        <v>138</v>
      </c>
      <c r="B6" s="918" t="s">
        <v>94</v>
      </c>
      <c r="C6" s="388" t="s">
        <v>100</v>
      </c>
      <c r="D6" s="389" t="s">
        <v>100</v>
      </c>
      <c r="E6" s="389" t="s">
        <v>101</v>
      </c>
      <c r="F6" s="308" t="s">
        <v>139</v>
      </c>
    </row>
    <row r="7" spans="1:9" ht="15" customHeight="1" thickBot="1" x14ac:dyDescent="0.3">
      <c r="A7" s="936"/>
      <c r="B7" s="936"/>
      <c r="C7" s="330">
        <v>40999</v>
      </c>
      <c r="D7" s="306">
        <f>'Løntabel gældende fra'!C7</f>
        <v>45383</v>
      </c>
      <c r="E7" s="306">
        <f>'Løntabel gældende fra'!C7</f>
        <v>45383</v>
      </c>
      <c r="F7" s="381" t="s">
        <v>140</v>
      </c>
    </row>
    <row r="8" spans="1:9" ht="15.95" customHeight="1" x14ac:dyDescent="0.2">
      <c r="A8" s="89">
        <v>1</v>
      </c>
      <c r="B8" s="89" t="s">
        <v>141</v>
      </c>
      <c r="C8" s="333">
        <f>12*22670</f>
        <v>272040</v>
      </c>
      <c r="D8" s="220">
        <f>C8+(C8*'Løntabel gældende fra'!$D$7%)</f>
        <v>334083.34668000002</v>
      </c>
      <c r="E8" s="345">
        <f>D8/12</f>
        <v>27840.278890000001</v>
      </c>
      <c r="F8" s="435">
        <f>(E8*12)/1672*1</f>
        <v>199.8106140430622</v>
      </c>
    </row>
    <row r="9" spans="1:9" ht="15.95" customHeight="1" x14ac:dyDescent="0.2">
      <c r="A9" s="90">
        <v>2</v>
      </c>
      <c r="B9" s="90" t="s">
        <v>149</v>
      </c>
      <c r="C9" s="336">
        <f>25300*12</f>
        <v>303600</v>
      </c>
      <c r="D9" s="181">
        <f>C9+(C9*'Løntabel gældende fra'!$D$7%)</f>
        <v>372841.14120000001</v>
      </c>
      <c r="E9" s="275">
        <f>D9/12</f>
        <v>31070.095100000002</v>
      </c>
      <c r="F9" s="437">
        <f>(E9*12)/1672*1</f>
        <v>222.99111315789474</v>
      </c>
    </row>
    <row r="10" spans="1:9" ht="15.95" customHeight="1" x14ac:dyDescent="0.2">
      <c r="A10" s="215">
        <v>3</v>
      </c>
      <c r="B10" s="438" t="s">
        <v>142</v>
      </c>
      <c r="C10" s="439">
        <f>27920*12</f>
        <v>335040</v>
      </c>
      <c r="D10" s="181">
        <f>C10+(C10*'Løntabel gældende fra'!$D$7%)</f>
        <v>411451.56767999998</v>
      </c>
      <c r="E10" s="275">
        <f>D10/12</f>
        <v>34287.630639999996</v>
      </c>
      <c r="F10" s="437">
        <f>(E10*12)/1672*1</f>
        <v>246.08347349282295</v>
      </c>
    </row>
    <row r="11" spans="1:9" ht="15.95" customHeight="1" thickBot="1" x14ac:dyDescent="0.25">
      <c r="A11" s="216">
        <v>4</v>
      </c>
      <c r="B11" s="440" t="s">
        <v>150</v>
      </c>
      <c r="C11" s="441">
        <f>29200*12</f>
        <v>350400</v>
      </c>
      <c r="D11" s="161">
        <f>C11+(C11*'Løntabel gældende fra'!$D$7%)</f>
        <v>430314.67680000002</v>
      </c>
      <c r="E11" s="347">
        <f>D11/12</f>
        <v>35859.556400000001</v>
      </c>
      <c r="F11" s="436">
        <f>(E11*12)/1672*1</f>
        <v>257.36523732057418</v>
      </c>
    </row>
    <row r="12" spans="1:9" ht="11.1" customHeight="1" thickBot="1" x14ac:dyDescent="0.25"/>
    <row r="13" spans="1:9" ht="18.75" thickBot="1" x14ac:dyDescent="0.25">
      <c r="A13" s="924" t="s">
        <v>152</v>
      </c>
      <c r="B13" s="925"/>
      <c r="C13" s="925"/>
      <c r="D13" s="925"/>
      <c r="E13" s="978"/>
      <c r="F13" s="206"/>
    </row>
    <row r="14" spans="1:9" ht="30" customHeight="1" x14ac:dyDescent="0.25">
      <c r="A14" s="918" t="s">
        <v>138</v>
      </c>
      <c r="B14" s="388" t="s">
        <v>100</v>
      </c>
      <c r="C14" s="389" t="s">
        <v>100</v>
      </c>
      <c r="D14" s="389" t="s">
        <v>101</v>
      </c>
      <c r="E14" s="308" t="s">
        <v>139</v>
      </c>
      <c r="F14" s="40"/>
    </row>
    <row r="15" spans="1:9" ht="17.100000000000001" customHeight="1" thickBot="1" x14ac:dyDescent="0.3">
      <c r="A15" s="936"/>
      <c r="B15" s="330">
        <v>40999</v>
      </c>
      <c r="C15" s="306">
        <f>'Løntabel gældende fra'!C7</f>
        <v>45383</v>
      </c>
      <c r="D15" s="306">
        <f>'Løntabel gældende fra'!C7</f>
        <v>45383</v>
      </c>
      <c r="E15" s="381" t="s">
        <v>140</v>
      </c>
      <c r="F15" s="40"/>
    </row>
    <row r="16" spans="1:9" ht="15.95" customHeight="1" x14ac:dyDescent="0.2">
      <c r="A16" s="89" t="s">
        <v>143</v>
      </c>
      <c r="B16" s="333">
        <f>12*13140</f>
        <v>157680</v>
      </c>
      <c r="C16" s="220">
        <f>B16+(B16*'Løntabel gældende fra'!$D$7%)</f>
        <v>193641.60456000001</v>
      </c>
      <c r="D16" s="345">
        <f>C16/12</f>
        <v>16136.800380000001</v>
      </c>
      <c r="E16" s="435">
        <f>(D16*12)/1672*1</f>
        <v>115.81435679425837</v>
      </c>
      <c r="F16" s="219"/>
    </row>
    <row r="17" spans="1:8" ht="15.95" customHeight="1" thickBot="1" x14ac:dyDescent="0.25">
      <c r="A17" s="91" t="s">
        <v>144</v>
      </c>
      <c r="B17" s="334">
        <f>12*13800</f>
        <v>165600</v>
      </c>
      <c r="C17" s="161">
        <f>B17+(B17*'Løntabel gældende fra'!$D$7%)</f>
        <v>203367.8952</v>
      </c>
      <c r="D17" s="347">
        <f>C17/12</f>
        <v>16947.3246</v>
      </c>
      <c r="E17" s="436">
        <f>(D17*12)/1672*1</f>
        <v>121.63151626794259</v>
      </c>
      <c r="F17" s="219"/>
    </row>
    <row r="18" spans="1:8" ht="12.95" customHeight="1" thickBot="1" x14ac:dyDescent="0.25"/>
    <row r="19" spans="1:8" ht="18.75" thickBot="1" x14ac:dyDescent="0.25">
      <c r="A19" s="924" t="s">
        <v>153</v>
      </c>
      <c r="B19" s="925"/>
      <c r="C19" s="925"/>
      <c r="D19" s="925"/>
      <c r="E19" s="978"/>
    </row>
    <row r="20" spans="1:8" ht="30" customHeight="1" x14ac:dyDescent="0.25">
      <c r="A20" s="311" t="s">
        <v>138</v>
      </c>
      <c r="B20" s="388" t="s">
        <v>100</v>
      </c>
      <c r="C20" s="389" t="s">
        <v>100</v>
      </c>
      <c r="D20" s="389" t="s">
        <v>101</v>
      </c>
      <c r="E20" s="308" t="s">
        <v>139</v>
      </c>
    </row>
    <row r="21" spans="1:8" ht="15.95" customHeight="1" thickBot="1" x14ac:dyDescent="0.3">
      <c r="A21" s="332"/>
      <c r="B21" s="330">
        <v>40999</v>
      </c>
      <c r="C21" s="306">
        <f>'Løntabel gældende fra'!C7</f>
        <v>45383</v>
      </c>
      <c r="D21" s="306">
        <f>'Løntabel gældende fra'!C7</f>
        <v>45383</v>
      </c>
      <c r="E21" s="381" t="s">
        <v>140</v>
      </c>
    </row>
    <row r="22" spans="1:8" ht="15.95" customHeight="1" thickBot="1" x14ac:dyDescent="0.25">
      <c r="A22" s="217" t="s">
        <v>143</v>
      </c>
      <c r="B22" s="348">
        <f>12*18700</f>
        <v>224400</v>
      </c>
      <c r="C22" s="221">
        <f>B22+(B22*'Løntabel gældende fra'!$D$7%)</f>
        <v>275578.23479999998</v>
      </c>
      <c r="D22" s="222">
        <f>C22/12</f>
        <v>22964.852899999998</v>
      </c>
      <c r="E22" s="442">
        <f>(D22*12)/1672*1</f>
        <v>164.81951842105261</v>
      </c>
      <c r="F22" s="213"/>
      <c r="G22" s="213"/>
    </row>
    <row r="23" spans="1:8" s="254" customFormat="1" ht="12" customHeight="1" thickBot="1" x14ac:dyDescent="0.25">
      <c r="A23" s="40"/>
      <c r="B23" s="262"/>
      <c r="C23" s="262"/>
      <c r="D23" s="262"/>
      <c r="E23" s="218"/>
      <c r="F23" s="382"/>
      <c r="G23" s="382"/>
    </row>
    <row r="24" spans="1:8" ht="18.75" thickBot="1" x14ac:dyDescent="0.25">
      <c r="A24" s="924" t="s">
        <v>155</v>
      </c>
      <c r="B24" s="925"/>
      <c r="C24" s="925"/>
      <c r="D24" s="925"/>
      <c r="E24" s="978"/>
      <c r="F24" s="206"/>
      <c r="G24" s="206"/>
      <c r="H24" s="206"/>
    </row>
    <row r="25" spans="1:8" ht="30.95" customHeight="1" thickBot="1" x14ac:dyDescent="0.25">
      <c r="A25" s="889" t="s">
        <v>138</v>
      </c>
      <c r="B25" s="918" t="s">
        <v>20</v>
      </c>
      <c r="C25" s="390" t="s">
        <v>201</v>
      </c>
      <c r="D25" s="391">
        <v>0.17299999999999999</v>
      </c>
      <c r="E25" s="398"/>
      <c r="F25" s="392"/>
      <c r="G25" s="395"/>
      <c r="H25" s="396"/>
    </row>
    <row r="26" spans="1:8" ht="45" customHeight="1" thickBot="1" x14ac:dyDescent="0.3">
      <c r="A26" s="1087"/>
      <c r="B26" s="936"/>
      <c r="C26" s="205" t="s">
        <v>21</v>
      </c>
      <c r="D26" s="394" t="s">
        <v>202</v>
      </c>
      <c r="E26" s="389" t="s">
        <v>22</v>
      </c>
      <c r="F26" s="1356"/>
      <c r="G26" s="1356"/>
      <c r="H26" s="397"/>
    </row>
    <row r="27" spans="1:8" ht="15.95" customHeight="1" x14ac:dyDescent="0.2">
      <c r="A27" s="338">
        <v>1</v>
      </c>
      <c r="B27" s="160">
        <f>E8</f>
        <v>27840.278890000001</v>
      </c>
      <c r="C27" s="160">
        <f>E27*1/3</f>
        <v>1605.4560826566667</v>
      </c>
      <c r="D27" s="329">
        <f>E27*2/3</f>
        <v>3210.9121653133334</v>
      </c>
      <c r="E27" s="160">
        <f>B27*$D$25</f>
        <v>4816.3682479700001</v>
      </c>
      <c r="F27" s="392"/>
      <c r="G27" s="393"/>
      <c r="H27" s="254"/>
    </row>
    <row r="28" spans="1:8" ht="15.95" customHeight="1" x14ac:dyDescent="0.2">
      <c r="A28" s="399">
        <v>2</v>
      </c>
      <c r="B28" s="181">
        <f>E9</f>
        <v>31070.095100000002</v>
      </c>
      <c r="C28" s="181">
        <f>E28*1/3</f>
        <v>1791.7088174333333</v>
      </c>
      <c r="D28" s="336">
        <f>E28*2/3</f>
        <v>3583.4176348666665</v>
      </c>
      <c r="E28" s="181">
        <f>B28*$D$25</f>
        <v>5375.1264523</v>
      </c>
      <c r="F28" s="392"/>
      <c r="G28" s="393"/>
      <c r="H28" s="254"/>
    </row>
    <row r="29" spans="1:8" ht="15.95" customHeight="1" x14ac:dyDescent="0.2">
      <c r="A29" s="399">
        <v>3</v>
      </c>
      <c r="B29" s="181">
        <f>E10</f>
        <v>34287.630639999996</v>
      </c>
      <c r="C29" s="181">
        <f>E29*1/3</f>
        <v>1977.2533669066663</v>
      </c>
      <c r="D29" s="336">
        <f>E29*2/3</f>
        <v>3954.5067338133326</v>
      </c>
      <c r="E29" s="181">
        <f>B29*$D$25</f>
        <v>5931.7601007199992</v>
      </c>
      <c r="F29" s="392"/>
      <c r="G29" s="393"/>
      <c r="H29" s="254"/>
    </row>
    <row r="30" spans="1:8" ht="15.95" customHeight="1" thickBot="1" x14ac:dyDescent="0.25">
      <c r="A30" s="340">
        <v>4</v>
      </c>
      <c r="B30" s="161">
        <f>E11</f>
        <v>35859.556400000001</v>
      </c>
      <c r="C30" s="161">
        <f>E30*1/3</f>
        <v>2067.9010857333333</v>
      </c>
      <c r="D30" s="334">
        <f>E30*2/3</f>
        <v>4135.8021714666666</v>
      </c>
      <c r="E30" s="161">
        <f>B30*$D$25</f>
        <v>6203.7032571999998</v>
      </c>
      <c r="F30" s="392"/>
      <c r="G30" s="393"/>
      <c r="H30" s="254"/>
    </row>
    <row r="31" spans="1:8" ht="12" customHeight="1" thickBot="1" x14ac:dyDescent="0.25">
      <c r="A31" s="40"/>
      <c r="B31" s="223"/>
      <c r="C31" s="223"/>
      <c r="D31" s="223"/>
      <c r="E31" s="218"/>
      <c r="F31" s="213"/>
      <c r="G31" s="213"/>
    </row>
    <row r="32" spans="1:8" ht="26.25" customHeight="1" thickBot="1" x14ac:dyDescent="0.25">
      <c r="A32" s="1357" t="s">
        <v>156</v>
      </c>
      <c r="B32" s="1358"/>
      <c r="C32" s="1358"/>
      <c r="D32" s="1358"/>
      <c r="E32" s="1359"/>
      <c r="F32" s="106" t="s">
        <v>92</v>
      </c>
      <c r="G32" s="213"/>
    </row>
    <row r="33" spans="1:8" ht="29.1" customHeight="1" thickBot="1" x14ac:dyDescent="0.25">
      <c r="A33" s="908" t="s">
        <v>154</v>
      </c>
      <c r="B33" s="909"/>
      <c r="C33" s="909"/>
      <c r="D33" s="909"/>
      <c r="E33" s="1351"/>
      <c r="F33" s="434">
        <v>160</v>
      </c>
      <c r="G33" s="213"/>
    </row>
    <row r="34" spans="1:8" ht="4.5" customHeight="1" x14ac:dyDescent="0.2">
      <c r="A34" s="386"/>
      <c r="B34" s="386"/>
      <c r="C34" s="386"/>
      <c r="D34" s="386"/>
      <c r="E34" s="386"/>
      <c r="F34" s="387"/>
      <c r="G34" s="213"/>
    </row>
    <row r="35" spans="1:8" s="238" customFormat="1" ht="27.95" customHeight="1" x14ac:dyDescent="0.2">
      <c r="A35" s="1353" t="s">
        <v>145</v>
      </c>
      <c r="B35" s="1353"/>
      <c r="C35" s="1353"/>
      <c r="D35" s="1353"/>
      <c r="E35" s="1353"/>
      <c r="F35" s="1353"/>
      <c r="G35" s="1353"/>
    </row>
    <row r="36" spans="1:8" s="238" customFormat="1" ht="30" customHeight="1" x14ac:dyDescent="0.2">
      <c r="A36" s="1354" t="s">
        <v>146</v>
      </c>
      <c r="B36" s="1354"/>
      <c r="C36" s="1354"/>
      <c r="D36" s="1354"/>
      <c r="E36" s="1354"/>
      <c r="F36" s="1354"/>
      <c r="G36" s="1354"/>
      <c r="H36" s="400"/>
    </row>
    <row r="37" spans="1:8" s="238" customFormat="1" ht="32.25" customHeight="1" x14ac:dyDescent="0.2">
      <c r="A37" s="1355" t="s">
        <v>147</v>
      </c>
      <c r="B37" s="1355"/>
      <c r="C37" s="1355"/>
      <c r="D37" s="1355"/>
      <c r="E37" s="1355"/>
      <c r="F37" s="1355"/>
      <c r="G37" s="1355"/>
    </row>
    <row r="39" spans="1:8" x14ac:dyDescent="0.2">
      <c r="A39" s="224"/>
      <c r="B39" s="224"/>
    </row>
    <row r="40" spans="1:8" x14ac:dyDescent="0.2">
      <c r="A40" s="224"/>
      <c r="B40" s="224"/>
      <c r="C40" s="225"/>
    </row>
    <row r="41" spans="1:8" x14ac:dyDescent="0.2">
      <c r="C41" s="226"/>
    </row>
    <row r="42" spans="1:8" x14ac:dyDescent="0.2">
      <c r="C42" s="226"/>
    </row>
    <row r="43" spans="1:8" x14ac:dyDescent="0.2">
      <c r="C43" s="226"/>
    </row>
    <row r="44" spans="1:8" x14ac:dyDescent="0.2">
      <c r="C44" s="227"/>
    </row>
  </sheetData>
  <sheetProtection password="CA9C" sheet="1" objects="1" scenarios="1"/>
  <mergeCells count="18">
    <mergeCell ref="A35:G35"/>
    <mergeCell ref="A36:G36"/>
    <mergeCell ref="A37:G37"/>
    <mergeCell ref="F26:G26"/>
    <mergeCell ref="B6:B7"/>
    <mergeCell ref="A32:E32"/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</mergeCells>
  <phoneticPr fontId="7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8"/>
  <sheetViews>
    <sheetView view="pageBreakPreview" zoomScaleNormal="125" zoomScaleSheetLayoutView="100" zoomScalePageLayoutView="125" workbookViewId="0">
      <selection activeCell="A30" sqref="A30:J30"/>
    </sheetView>
  </sheetViews>
  <sheetFormatPr defaultColWidth="8.85546875" defaultRowHeight="12.75" x14ac:dyDescent="0.2"/>
  <cols>
    <col min="1" max="1" width="9" style="212" customWidth="1"/>
    <col min="2" max="2" width="11.7109375" style="212" customWidth="1"/>
    <col min="3" max="3" width="11.140625" style="212" customWidth="1"/>
    <col min="4" max="4" width="11.28515625" style="212" customWidth="1"/>
    <col min="5" max="5" width="10.7109375" style="212" customWidth="1"/>
    <col min="6" max="6" width="13.140625" style="212" customWidth="1"/>
    <col min="7" max="7" width="13.42578125" style="212" customWidth="1"/>
    <col min="8" max="8" width="11.140625" style="212" customWidth="1"/>
    <col min="9" max="9" width="11.28515625" style="212" customWidth="1"/>
    <col min="10" max="10" width="13.85546875" style="212" customWidth="1"/>
    <col min="11" max="16384" width="8.85546875" style="212"/>
  </cols>
  <sheetData>
    <row r="1" spans="1:16" ht="20.25" x14ac:dyDescent="0.3">
      <c r="A1" s="1019" t="s">
        <v>19</v>
      </c>
      <c r="B1" s="1020"/>
      <c r="C1" s="1020"/>
      <c r="D1" s="1020"/>
      <c r="E1" s="1020"/>
      <c r="F1" s="1020"/>
      <c r="G1" s="1020"/>
      <c r="H1" s="1020"/>
      <c r="I1" s="1020"/>
      <c r="J1" s="1021"/>
    </row>
    <row r="2" spans="1:16" ht="38.1" customHeight="1" x14ac:dyDescent="0.3">
      <c r="A2" s="1339" t="s">
        <v>189</v>
      </c>
      <c r="B2" s="1340"/>
      <c r="C2" s="1340"/>
      <c r="D2" s="1340"/>
      <c r="E2" s="1340"/>
      <c r="F2" s="1340"/>
      <c r="G2" s="1340"/>
      <c r="H2" s="1340"/>
      <c r="I2" s="1340"/>
      <c r="J2" s="1341"/>
    </row>
    <row r="3" spans="1:16" ht="20.25" x14ac:dyDescent="0.3">
      <c r="A3" s="1032" t="str">
        <f>'Forside 1'!A6:I6</f>
        <v>Gældende fra 1. september 2024</v>
      </c>
      <c r="B3" s="1033"/>
      <c r="C3" s="1033"/>
      <c r="D3" s="1033"/>
      <c r="E3" s="1033"/>
      <c r="F3" s="1033"/>
      <c r="G3" s="1033"/>
      <c r="H3" s="1033"/>
      <c r="I3" s="1033"/>
      <c r="J3" s="1034"/>
    </row>
    <row r="4" spans="1:16" ht="17.100000000000001" customHeight="1" x14ac:dyDescent="0.2">
      <c r="A4" s="1375" t="s">
        <v>381</v>
      </c>
      <c r="B4" s="1376"/>
      <c r="C4" s="1376"/>
      <c r="D4" s="1376"/>
      <c r="E4" s="1376"/>
      <c r="F4" s="1376"/>
      <c r="G4" s="1376"/>
      <c r="H4" s="1376"/>
      <c r="I4" s="1376"/>
      <c r="J4" s="1377"/>
    </row>
    <row r="5" spans="1:16" ht="8.1" customHeight="1" x14ac:dyDescent="0.2">
      <c r="A5" s="1375" t="s">
        <v>380</v>
      </c>
      <c r="B5" s="1376"/>
      <c r="C5" s="1376"/>
      <c r="D5" s="1376"/>
      <c r="E5" s="1376"/>
      <c r="F5" s="1376"/>
      <c r="G5" s="1376"/>
      <c r="H5" s="1376"/>
      <c r="I5" s="1376"/>
      <c r="J5" s="1377"/>
      <c r="L5" s="239"/>
      <c r="M5" s="238"/>
      <c r="N5" s="238"/>
      <c r="O5" s="238"/>
      <c r="P5" s="238"/>
    </row>
    <row r="6" spans="1:16" ht="6.95" customHeight="1" thickBot="1" x14ac:dyDescent="0.25">
      <c r="A6" s="1378"/>
      <c r="B6" s="1379"/>
      <c r="C6" s="1379"/>
      <c r="D6" s="1379"/>
      <c r="E6" s="1379"/>
      <c r="F6" s="1379"/>
      <c r="G6" s="1379"/>
      <c r="H6" s="1379"/>
      <c r="I6" s="1379"/>
      <c r="J6" s="1380"/>
      <c r="L6" s="239"/>
      <c r="M6" s="238"/>
      <c r="N6" s="238"/>
      <c r="O6" s="238"/>
      <c r="P6" s="238"/>
    </row>
    <row r="7" spans="1:16" s="254" customFormat="1" ht="18" customHeight="1" thickBot="1" x14ac:dyDescent="0.25">
      <c r="A7" s="511"/>
      <c r="B7" s="511"/>
      <c r="C7" s="511"/>
      <c r="D7" s="511"/>
      <c r="E7" s="511"/>
      <c r="F7" s="511"/>
      <c r="G7" s="512"/>
      <c r="H7" s="512"/>
      <c r="I7" s="512"/>
      <c r="J7" s="512"/>
      <c r="L7" s="513"/>
      <c r="M7" s="264"/>
      <c r="N7" s="264"/>
      <c r="O7" s="264"/>
      <c r="P7" s="264"/>
    </row>
    <row r="8" spans="1:16" ht="21" customHeight="1" thickBot="1" x14ac:dyDescent="0.3">
      <c r="A8" s="1342" t="s">
        <v>375</v>
      </c>
      <c r="B8" s="1343"/>
      <c r="C8" s="1343"/>
      <c r="D8" s="1343"/>
      <c r="E8" s="1343"/>
      <c r="F8" s="1344"/>
      <c r="G8" s="1247" t="s">
        <v>168</v>
      </c>
      <c r="H8" s="1248"/>
      <c r="I8" s="1248"/>
      <c r="J8" s="1249"/>
      <c r="L8" s="239"/>
      <c r="M8" s="238"/>
      <c r="N8" s="238"/>
      <c r="O8" s="238"/>
      <c r="P8" s="238"/>
    </row>
    <row r="9" spans="1:16" ht="38.25" x14ac:dyDescent="0.2">
      <c r="A9" s="427" t="s">
        <v>57</v>
      </c>
      <c r="B9" s="427" t="s">
        <v>75</v>
      </c>
      <c r="C9" s="430" t="s">
        <v>76</v>
      </c>
      <c r="D9" s="427" t="s">
        <v>77</v>
      </c>
      <c r="E9" s="427" t="s">
        <v>78</v>
      </c>
      <c r="F9" s="427" t="s">
        <v>79</v>
      </c>
      <c r="G9" s="431" t="s">
        <v>185</v>
      </c>
      <c r="H9" s="432" t="s">
        <v>186</v>
      </c>
      <c r="I9" s="432" t="s">
        <v>187</v>
      </c>
      <c r="J9" s="433">
        <v>0.14499999999999999</v>
      </c>
    </row>
    <row r="10" spans="1:16" ht="15.95" customHeight="1" x14ac:dyDescent="0.2">
      <c r="A10" s="290">
        <v>14</v>
      </c>
      <c r="B10" s="574">
        <f>'Statens skalatrin'!D46</f>
        <v>23293.5</v>
      </c>
      <c r="C10" s="574">
        <f>'Statens skalatrin'!F46</f>
        <v>23778.58</v>
      </c>
      <c r="D10" s="574">
        <f>'Statens skalatrin'!H46</f>
        <v>24114.33</v>
      </c>
      <c r="E10" s="574">
        <f>'Statens skalatrin'!J46</f>
        <v>24599.33</v>
      </c>
      <c r="F10" s="574">
        <f>'Statens skalatrin'!L46</f>
        <v>24935.08</v>
      </c>
      <c r="G10" s="1367">
        <f>'Statens skalatrin'!O46</f>
        <v>21778.67</v>
      </c>
      <c r="H10" s="1367">
        <f>ROUND(J10*1/3,2)</f>
        <v>1052.6400000000001</v>
      </c>
      <c r="I10" s="1367">
        <f>ROUND(J10*2/3,2)</f>
        <v>2105.27</v>
      </c>
      <c r="J10" s="1367">
        <f>ROUND(G10*$J$9,2)</f>
        <v>3157.91</v>
      </c>
    </row>
    <row r="11" spans="1:16" ht="15.95" customHeight="1" x14ac:dyDescent="0.2">
      <c r="A11" s="344" t="s">
        <v>199</v>
      </c>
      <c r="B11" s="447">
        <f>B10+($F$20/12)</f>
        <v>23493.7775</v>
      </c>
      <c r="C11" s="447">
        <f t="shared" ref="C11:F11" si="0">C10+($F$20/12)</f>
        <v>23978.857500000002</v>
      </c>
      <c r="D11" s="447">
        <f t="shared" si="0"/>
        <v>24314.607500000002</v>
      </c>
      <c r="E11" s="447">
        <f t="shared" si="0"/>
        <v>24799.607500000002</v>
      </c>
      <c r="F11" s="447">
        <f t="shared" si="0"/>
        <v>25135.357500000002</v>
      </c>
      <c r="G11" s="1368"/>
      <c r="H11" s="1368"/>
      <c r="I11" s="1368"/>
      <c r="J11" s="1368"/>
    </row>
    <row r="12" spans="1:16" ht="15.95" customHeight="1" x14ac:dyDescent="0.2">
      <c r="A12" s="290">
        <v>17</v>
      </c>
      <c r="B12" s="447">
        <f>'Statens skalatrin'!D55</f>
        <v>24459.5</v>
      </c>
      <c r="C12" s="447">
        <f>'Statens skalatrin'!F55</f>
        <v>24982.33</v>
      </c>
      <c r="D12" s="575">
        <f>'Statens skalatrin'!H55</f>
        <v>25344.33</v>
      </c>
      <c r="E12" s="447">
        <f>'Statens skalatrin'!J55</f>
        <v>25867.08</v>
      </c>
      <c r="F12" s="447">
        <f>'Statens skalatrin'!L55</f>
        <v>26228.83</v>
      </c>
      <c r="G12" s="793">
        <f>'Statens skalatrin'!O55</f>
        <v>22972.43</v>
      </c>
      <c r="H12" s="792">
        <f>ROUND(J12*1/3,2)</f>
        <v>1110.33</v>
      </c>
      <c r="I12" s="792">
        <f>ROUND(J12*2/3,2)</f>
        <v>2220.67</v>
      </c>
      <c r="J12" s="792">
        <f>ROUND(G12*$J$9,2)</f>
        <v>3331</v>
      </c>
    </row>
    <row r="13" spans="1:16" ht="15.95" customHeight="1" x14ac:dyDescent="0.2">
      <c r="A13" s="791">
        <v>21</v>
      </c>
      <c r="B13" s="575">
        <f>'Statens skalatrin'!D67</f>
        <v>26013.75</v>
      </c>
      <c r="C13" s="575">
        <f>'Statens skalatrin'!F67</f>
        <v>26591.83</v>
      </c>
      <c r="D13" s="575">
        <f>'Statens skalatrin'!H67</f>
        <v>26992.080000000002</v>
      </c>
      <c r="E13" s="575">
        <f>'Statens skalatrin'!J67</f>
        <v>27570.17</v>
      </c>
      <c r="F13" s="575">
        <f>'Statens skalatrin'!L67</f>
        <v>27970.42</v>
      </c>
      <c r="G13" s="1367">
        <f>'Statens skalatrin'!O67</f>
        <v>24723.38</v>
      </c>
      <c r="H13" s="1367">
        <f>ROUND(J13*1/3,2)</f>
        <v>1194.96</v>
      </c>
      <c r="I13" s="1367">
        <f>ROUND(J13*2/3,2)</f>
        <v>2389.9299999999998</v>
      </c>
      <c r="J13" s="1367">
        <f>ROUND(G13*$J$9,2)</f>
        <v>3584.89</v>
      </c>
    </row>
    <row r="14" spans="1:16" ht="15.95" customHeight="1" thickBot="1" x14ac:dyDescent="0.25">
      <c r="A14" s="794" t="s">
        <v>402</v>
      </c>
      <c r="B14" s="576">
        <f>B13+($F$21/12)</f>
        <v>26218.427500000002</v>
      </c>
      <c r="C14" s="576">
        <f>C13+($F$21/12)</f>
        <v>26796.507500000003</v>
      </c>
      <c r="D14" s="576">
        <f>D13+($F$21/12)</f>
        <v>27196.757500000003</v>
      </c>
      <c r="E14" s="576">
        <f>E13+($F$21/12)</f>
        <v>27774.8475</v>
      </c>
      <c r="F14" s="576">
        <f>F13+($F$21/12)</f>
        <v>28175.0975</v>
      </c>
      <c r="G14" s="1396"/>
      <c r="H14" s="1396"/>
      <c r="I14" s="1396"/>
      <c r="J14" s="1396"/>
    </row>
    <row r="15" spans="1:16" ht="17.100000000000001" customHeight="1" thickBot="1" x14ac:dyDescent="0.25">
      <c r="A15" s="238"/>
      <c r="B15" s="232"/>
      <c r="C15" s="232"/>
      <c r="D15" s="232"/>
      <c r="E15" s="232"/>
      <c r="F15" s="232"/>
      <c r="G15" s="255"/>
      <c r="H15" s="256"/>
      <c r="I15" s="257"/>
      <c r="J15" s="257"/>
    </row>
    <row r="16" spans="1:16" ht="21" customHeight="1" x14ac:dyDescent="0.25">
      <c r="A16" s="911" t="s">
        <v>163</v>
      </c>
      <c r="B16" s="912"/>
      <c r="C16" s="912"/>
      <c r="D16" s="912"/>
      <c r="E16" s="912"/>
      <c r="F16" s="913"/>
      <c r="G16" s="206"/>
      <c r="H16" s="206"/>
      <c r="I16" s="206"/>
      <c r="J16" s="228"/>
    </row>
    <row r="17" spans="1:10" ht="21" customHeight="1" thickBot="1" x14ac:dyDescent="0.3">
      <c r="A17" s="991" t="s">
        <v>376</v>
      </c>
      <c r="B17" s="992"/>
      <c r="C17" s="992"/>
      <c r="D17" s="992"/>
      <c r="E17" s="992"/>
      <c r="F17" s="993"/>
      <c r="G17" s="206"/>
      <c r="H17" s="206"/>
      <c r="I17" s="206"/>
      <c r="J17" s="228"/>
    </row>
    <row r="18" spans="1:10" ht="27" customHeight="1" x14ac:dyDescent="0.25">
      <c r="A18" s="1386" t="s">
        <v>401</v>
      </c>
      <c r="B18" s="1387"/>
      <c r="C18" s="1387"/>
      <c r="D18" s="1387"/>
      <c r="E18" s="773" t="s">
        <v>131</v>
      </c>
      <c r="F18" s="774" t="s">
        <v>301</v>
      </c>
      <c r="G18" s="249"/>
      <c r="H18" s="238"/>
      <c r="I18" s="238"/>
      <c r="J18" s="228"/>
    </row>
    <row r="19" spans="1:10" ht="15" customHeight="1" x14ac:dyDescent="0.25">
      <c r="A19" s="1319"/>
      <c r="B19" s="1320"/>
      <c r="C19" s="1320"/>
      <c r="D19" s="1320"/>
      <c r="E19" s="514">
        <v>40999</v>
      </c>
      <c r="F19" s="777" t="str">
        <f>'Løntabel gældende fra'!D1</f>
        <v>01/04/24</v>
      </c>
      <c r="G19" s="249"/>
      <c r="H19" s="238"/>
      <c r="I19" s="238"/>
      <c r="J19" s="228"/>
    </row>
    <row r="20" spans="1:10" ht="15" customHeight="1" x14ac:dyDescent="0.25">
      <c r="A20" s="1329" t="s">
        <v>399</v>
      </c>
      <c r="B20" s="1330"/>
      <c r="C20" s="1330"/>
      <c r="D20" s="1399"/>
      <c r="E20" s="789">
        <v>1957</v>
      </c>
      <c r="F20" s="790">
        <f>ROUND(E20+(E20*'Løntabel gældende fra'!$D$7%),2)</f>
        <v>2403.33</v>
      </c>
      <c r="G20" s="249"/>
      <c r="H20" s="238"/>
      <c r="I20" s="238"/>
      <c r="J20" s="228"/>
    </row>
    <row r="21" spans="1:10" ht="15.95" customHeight="1" thickBot="1" x14ac:dyDescent="0.3">
      <c r="A21" s="960" t="s">
        <v>400</v>
      </c>
      <c r="B21" s="961"/>
      <c r="C21" s="961"/>
      <c r="D21" s="962"/>
      <c r="E21" s="787">
        <v>2000</v>
      </c>
      <c r="F21" s="788">
        <f>ROUND(E21+(E21*'Løntabel gældende fra'!$D$7%),2)</f>
        <v>2456.13</v>
      </c>
      <c r="G21" s="249"/>
      <c r="H21" s="238"/>
      <c r="I21" s="238"/>
      <c r="J21" s="228"/>
    </row>
    <row r="22" spans="1:10" ht="15.95" customHeight="1" thickBot="1" x14ac:dyDescent="0.25">
      <c r="A22" s="1397"/>
      <c r="B22" s="1398"/>
      <c r="C22" s="1398"/>
      <c r="D22" s="1398"/>
      <c r="E22" s="1398"/>
      <c r="F22" s="1398"/>
      <c r="G22" s="1398"/>
      <c r="H22" s="1398"/>
      <c r="I22" s="1398"/>
      <c r="J22" s="1398"/>
    </row>
    <row r="23" spans="1:10" s="228" customFormat="1" ht="27" customHeight="1" x14ac:dyDescent="0.25">
      <c r="A23" s="891" t="s">
        <v>191</v>
      </c>
      <c r="B23" s="1045"/>
      <c r="C23" s="1045"/>
      <c r="D23" s="1045"/>
      <c r="E23" s="1045"/>
      <c r="F23" s="1045"/>
      <c r="G23" s="1046"/>
    </row>
    <row r="24" spans="1:10" s="228" customFormat="1" ht="15.95" customHeight="1" thickBot="1" x14ac:dyDescent="0.3">
      <c r="A24" s="901" t="s">
        <v>275</v>
      </c>
      <c r="B24" s="902"/>
      <c r="C24" s="902"/>
      <c r="D24" s="902"/>
      <c r="E24" s="902"/>
      <c r="F24" s="902"/>
      <c r="G24" s="903"/>
    </row>
    <row r="25" spans="1:10" s="228" customFormat="1" ht="15.75" x14ac:dyDescent="0.25">
      <c r="A25" s="1264"/>
      <c r="B25" s="1265"/>
      <c r="C25" s="1266"/>
      <c r="D25" s="1308" t="s">
        <v>302</v>
      </c>
      <c r="E25" s="1308"/>
      <c r="F25" s="1245" t="s">
        <v>303</v>
      </c>
      <c r="G25" s="1246"/>
    </row>
    <row r="26" spans="1:10" s="228" customFormat="1" ht="12.95" customHeight="1" thickBot="1" x14ac:dyDescent="0.3">
      <c r="A26" s="1267"/>
      <c r="B26" s="1268"/>
      <c r="C26" s="1269"/>
      <c r="D26" s="1252">
        <v>40999</v>
      </c>
      <c r="E26" s="1253"/>
      <c r="F26" s="1243" t="str">
        <f>'Løntabel gældende fra'!$D$1</f>
        <v>01/04/24</v>
      </c>
      <c r="G26" s="1244"/>
    </row>
    <row r="27" spans="1:10" s="228" customFormat="1" ht="15.95" customHeight="1" thickBot="1" x14ac:dyDescent="0.3">
      <c r="A27" s="1369" t="s">
        <v>162</v>
      </c>
      <c r="B27" s="1370"/>
      <c r="C27" s="1371"/>
      <c r="D27" s="1372">
        <v>148</v>
      </c>
      <c r="E27" s="1373"/>
      <c r="F27" s="1374">
        <f>ROUND(+D27*(1+'Løntabel gældende fra'!$D$7/100),2)</f>
        <v>181.75</v>
      </c>
      <c r="G27" s="1373"/>
    </row>
    <row r="28" spans="1:10" ht="15" customHeight="1" thickBot="1" x14ac:dyDescent="0.3">
      <c r="A28" s="247"/>
      <c r="B28" s="246"/>
      <c r="C28" s="246"/>
      <c r="D28" s="246"/>
      <c r="E28" s="246"/>
      <c r="F28" s="246"/>
      <c r="G28" s="238"/>
      <c r="H28" s="237"/>
      <c r="I28" s="237"/>
      <c r="J28" s="228"/>
    </row>
    <row r="29" spans="1:10" s="228" customFormat="1" ht="27" customHeight="1" x14ac:dyDescent="0.25">
      <c r="A29" s="891" t="s">
        <v>389</v>
      </c>
      <c r="B29" s="1045"/>
      <c r="C29" s="1045"/>
      <c r="D29" s="1045"/>
      <c r="E29" s="1045"/>
      <c r="F29" s="1045"/>
      <c r="G29" s="1046"/>
    </row>
    <row r="30" spans="1:10" s="228" customFormat="1" ht="15.95" customHeight="1" thickBot="1" x14ac:dyDescent="0.3">
      <c r="A30" s="901" t="s">
        <v>275</v>
      </c>
      <c r="B30" s="902"/>
      <c r="C30" s="902"/>
      <c r="D30" s="902"/>
      <c r="E30" s="902"/>
      <c r="F30" s="902"/>
      <c r="G30" s="903"/>
    </row>
    <row r="31" spans="1:10" s="228" customFormat="1" ht="15.75" x14ac:dyDescent="0.25">
      <c r="A31" s="1264"/>
      <c r="B31" s="1265"/>
      <c r="C31" s="1266"/>
      <c r="D31" s="1308" t="s">
        <v>302</v>
      </c>
      <c r="E31" s="1308"/>
      <c r="F31" s="1245" t="s">
        <v>303</v>
      </c>
      <c r="G31" s="1246"/>
    </row>
    <row r="32" spans="1:10" s="228" customFormat="1" ht="12.95" customHeight="1" thickBot="1" x14ac:dyDescent="0.3">
      <c r="A32" s="1267"/>
      <c r="B32" s="1268"/>
      <c r="C32" s="1269"/>
      <c r="D32" s="1252">
        <v>40999</v>
      </c>
      <c r="E32" s="1253"/>
      <c r="F32" s="1243" t="str">
        <f>'Løntabel gældende fra'!$D$1</f>
        <v>01/04/24</v>
      </c>
      <c r="G32" s="1244"/>
    </row>
    <row r="33" spans="1:10" s="228" customFormat="1" ht="15.95" customHeight="1" x14ac:dyDescent="0.25">
      <c r="A33" s="1362" t="s">
        <v>158</v>
      </c>
      <c r="B33" s="1363"/>
      <c r="C33" s="1364"/>
      <c r="D33" s="1365">
        <f>D27*66%</f>
        <v>97.68</v>
      </c>
      <c r="E33" s="1366"/>
      <c r="F33" s="1365">
        <f>F27*66%</f>
        <v>119.95500000000001</v>
      </c>
      <c r="G33" s="1366"/>
    </row>
    <row r="34" spans="1:10" s="228" customFormat="1" ht="15.95" customHeight="1" thickBot="1" x14ac:dyDescent="0.3">
      <c r="A34" s="1257" t="s">
        <v>159</v>
      </c>
      <c r="B34" s="1258"/>
      <c r="C34" s="1259"/>
      <c r="D34" s="1360">
        <f>D27*74%</f>
        <v>109.52</v>
      </c>
      <c r="E34" s="1361"/>
      <c r="F34" s="1360">
        <f>F27*74%</f>
        <v>134.495</v>
      </c>
      <c r="G34" s="1361"/>
    </row>
    <row r="35" spans="1:10" ht="15" customHeight="1" thickBot="1" x14ac:dyDescent="0.3">
      <c r="A35" s="247"/>
      <c r="B35" s="246"/>
      <c r="C35" s="246"/>
      <c r="D35" s="246"/>
      <c r="E35" s="246"/>
      <c r="F35" s="246"/>
      <c r="G35" s="238"/>
      <c r="H35" s="237"/>
      <c r="I35" s="237"/>
      <c r="J35" s="228"/>
    </row>
    <row r="36" spans="1:10" ht="20.100000000000001" customHeight="1" x14ac:dyDescent="0.25">
      <c r="A36" s="911" t="s">
        <v>172</v>
      </c>
      <c r="B36" s="912"/>
      <c r="C36" s="912"/>
      <c r="D36" s="912"/>
      <c r="E36" s="912"/>
      <c r="F36" s="912"/>
      <c r="G36" s="912"/>
      <c r="H36" s="912"/>
      <c r="I36" s="913"/>
      <c r="J36" s="228"/>
    </row>
    <row r="37" spans="1:10" ht="20.100000000000001" customHeight="1" thickBot="1" x14ac:dyDescent="0.3">
      <c r="A37" s="991" t="s">
        <v>275</v>
      </c>
      <c r="B37" s="992"/>
      <c r="C37" s="992"/>
      <c r="D37" s="992"/>
      <c r="E37" s="992"/>
      <c r="F37" s="992"/>
      <c r="G37" s="992"/>
      <c r="H37" s="992"/>
      <c r="I37" s="993"/>
      <c r="J37" s="228"/>
    </row>
    <row r="38" spans="1:10" ht="27" customHeight="1" thickBot="1" x14ac:dyDescent="0.3">
      <c r="A38" s="1381"/>
      <c r="B38" s="1382"/>
      <c r="C38" s="1382"/>
      <c r="D38" s="1382"/>
      <c r="E38" s="1382"/>
      <c r="F38" s="1382"/>
      <c r="G38" s="1382"/>
      <c r="H38" s="567" t="s">
        <v>302</v>
      </c>
      <c r="I38" s="570" t="s">
        <v>303</v>
      </c>
      <c r="J38" s="228"/>
    </row>
    <row r="39" spans="1:10" ht="15" customHeight="1" thickBot="1" x14ac:dyDescent="0.3">
      <c r="A39" s="1326"/>
      <c r="B39" s="1327"/>
      <c r="C39" s="1327"/>
      <c r="D39" s="1327"/>
      <c r="E39" s="1327"/>
      <c r="F39" s="1327"/>
      <c r="G39" s="1328"/>
      <c r="H39" s="517">
        <v>40999</v>
      </c>
      <c r="I39" s="518" t="str">
        <f>'Løntabel gældende fra'!D1</f>
        <v>01/04/24</v>
      </c>
      <c r="J39" s="228"/>
    </row>
    <row r="40" spans="1:10" ht="15" customHeight="1" x14ac:dyDescent="0.25">
      <c r="A40" s="1329" t="s">
        <v>173</v>
      </c>
      <c r="B40" s="1330"/>
      <c r="C40" s="1330"/>
      <c r="D40" s="1330"/>
      <c r="E40" s="1330"/>
      <c r="F40" s="233"/>
      <c r="G40" s="235" t="s">
        <v>165</v>
      </c>
      <c r="H40" s="297">
        <v>22.32</v>
      </c>
      <c r="I40" s="751">
        <f>ROUND(H40+(H40*'Løntabel gældende fra'!$D$7%),2)</f>
        <v>27.41</v>
      </c>
      <c r="J40" s="228"/>
    </row>
    <row r="41" spans="1:10" ht="15" customHeight="1" x14ac:dyDescent="0.25">
      <c r="A41" s="1337" t="s">
        <v>174</v>
      </c>
      <c r="B41" s="1338"/>
      <c r="C41" s="1338"/>
      <c r="D41" s="1338"/>
      <c r="E41" s="1338"/>
      <c r="F41" s="253"/>
      <c r="G41" s="236" t="s">
        <v>165</v>
      </c>
      <c r="H41" s="299">
        <v>39.92</v>
      </c>
      <c r="I41" s="752">
        <f>ROUND(H41+(H41*'Løntabel gældende fra'!$D$7%),2)</f>
        <v>49.02</v>
      </c>
      <c r="J41" s="228"/>
    </row>
    <row r="42" spans="1:10" ht="26.1" customHeight="1" x14ac:dyDescent="0.25">
      <c r="A42" s="1329" t="s">
        <v>175</v>
      </c>
      <c r="B42" s="1330"/>
      <c r="C42" s="1330"/>
      <c r="D42" s="1330"/>
      <c r="E42" s="1330"/>
      <c r="F42" s="1330"/>
      <c r="G42" s="236" t="s">
        <v>165</v>
      </c>
      <c r="H42" s="299">
        <v>39.92</v>
      </c>
      <c r="I42" s="752">
        <f>ROUND(H42+(H42*'Løntabel gældende fra'!$D$7%),2)</f>
        <v>49.02</v>
      </c>
      <c r="J42" s="228"/>
    </row>
    <row r="43" spans="1:10" ht="15" customHeight="1" thickBot="1" x14ac:dyDescent="0.3">
      <c r="A43" s="266" t="s">
        <v>164</v>
      </c>
      <c r="B43" s="265"/>
      <c r="C43" s="265"/>
      <c r="D43" s="265"/>
      <c r="E43" s="250"/>
      <c r="F43" s="250"/>
      <c r="G43" s="260" t="s">
        <v>165</v>
      </c>
      <c r="H43" s="301">
        <v>39.92</v>
      </c>
      <c r="I43" s="753">
        <f>ROUND(H43+(H43*'Løntabel gældende fra'!$D$7%),2)</f>
        <v>49.02</v>
      </c>
      <c r="J43" s="228"/>
    </row>
    <row r="44" spans="1:10" ht="15" customHeight="1" thickBot="1" x14ac:dyDescent="0.3">
      <c r="A44" s="259"/>
      <c r="B44" s="259"/>
      <c r="C44" s="259"/>
      <c r="D44" s="259"/>
      <c r="E44" s="259"/>
      <c r="F44" s="259"/>
      <c r="G44" s="259"/>
      <c r="H44" s="223"/>
      <c r="I44" s="258"/>
      <c r="J44" s="228"/>
    </row>
    <row r="45" spans="1:10" ht="21" customHeight="1" x14ac:dyDescent="0.2">
      <c r="A45" s="911" t="s">
        <v>285</v>
      </c>
      <c r="B45" s="912"/>
      <c r="C45" s="912"/>
      <c r="D45" s="912"/>
      <c r="E45" s="912"/>
      <c r="F45" s="912"/>
      <c r="G45" s="912"/>
      <c r="H45" s="912"/>
      <c r="I45" s="913"/>
      <c r="J45" s="238"/>
    </row>
    <row r="46" spans="1:10" ht="21" customHeight="1" thickBot="1" x14ac:dyDescent="0.25">
      <c r="A46" s="991" t="s">
        <v>271</v>
      </c>
      <c r="B46" s="992"/>
      <c r="C46" s="992"/>
      <c r="D46" s="992"/>
      <c r="E46" s="992"/>
      <c r="F46" s="992"/>
      <c r="G46" s="992"/>
      <c r="H46" s="992"/>
      <c r="I46" s="993"/>
      <c r="J46" s="238"/>
    </row>
    <row r="47" spans="1:10" ht="27" customHeight="1" thickBot="1" x14ac:dyDescent="0.25">
      <c r="A47" s="1383"/>
      <c r="B47" s="1384"/>
      <c r="C47" s="1384"/>
      <c r="D47" s="1384"/>
      <c r="E47" s="1384"/>
      <c r="F47" s="1384"/>
      <c r="G47" s="1385"/>
      <c r="H47" s="567" t="s">
        <v>302</v>
      </c>
      <c r="I47" s="570" t="s">
        <v>303</v>
      </c>
      <c r="J47" s="238"/>
    </row>
    <row r="48" spans="1:10" ht="15" customHeight="1" thickBot="1" x14ac:dyDescent="0.25">
      <c r="A48" s="1383"/>
      <c r="B48" s="1384"/>
      <c r="C48" s="1384"/>
      <c r="D48" s="1384"/>
      <c r="E48" s="1384"/>
      <c r="F48" s="1384"/>
      <c r="G48" s="1385"/>
      <c r="H48" s="517">
        <v>40999</v>
      </c>
      <c r="I48" s="518" t="str">
        <f>'Løntabel gældende fra'!D1</f>
        <v>01/04/24</v>
      </c>
      <c r="J48" s="238"/>
    </row>
    <row r="49" spans="1:10" ht="15" customHeight="1" thickBot="1" x14ac:dyDescent="0.25">
      <c r="A49" s="960" t="s">
        <v>177</v>
      </c>
      <c r="B49" s="961"/>
      <c r="C49" s="961"/>
      <c r="D49" s="961"/>
      <c r="E49" s="961"/>
      <c r="F49" s="519"/>
      <c r="G49" s="520" t="s">
        <v>165</v>
      </c>
      <c r="H49" s="303">
        <v>6.88</v>
      </c>
      <c r="I49" s="296">
        <f>ROUND(H49+(H49*'Løntabel gældende fra'!D7%),2)</f>
        <v>8.4499999999999993</v>
      </c>
      <c r="J49" s="238"/>
    </row>
    <row r="50" spans="1:10" ht="15" customHeight="1" thickBot="1" x14ac:dyDescent="0.3">
      <c r="A50" s="1395"/>
      <c r="B50" s="1395"/>
      <c r="C50" s="1395"/>
      <c r="D50" s="1395"/>
      <c r="E50" s="1395"/>
      <c r="F50" s="1395"/>
      <c r="G50" s="1395"/>
      <c r="H50" s="1395"/>
      <c r="I50" s="1395"/>
      <c r="J50" s="238"/>
    </row>
    <row r="51" spans="1:10" ht="21" customHeight="1" x14ac:dyDescent="0.2">
      <c r="A51" s="911" t="s">
        <v>178</v>
      </c>
      <c r="B51" s="912"/>
      <c r="C51" s="912"/>
      <c r="D51" s="912"/>
      <c r="E51" s="912"/>
      <c r="F51" s="912"/>
      <c r="G51" s="912"/>
      <c r="H51" s="912"/>
      <c r="I51" s="913"/>
      <c r="J51" s="238"/>
    </row>
    <row r="52" spans="1:10" ht="21" customHeight="1" thickBot="1" x14ac:dyDescent="0.25">
      <c r="A52" s="991" t="s">
        <v>275</v>
      </c>
      <c r="B52" s="992"/>
      <c r="C52" s="992"/>
      <c r="D52" s="992"/>
      <c r="E52" s="992"/>
      <c r="F52" s="992"/>
      <c r="G52" s="992"/>
      <c r="H52" s="992"/>
      <c r="I52" s="993"/>
      <c r="J52" s="238"/>
    </row>
    <row r="53" spans="1:10" ht="30" customHeight="1" x14ac:dyDescent="0.2">
      <c r="A53" s="1389"/>
      <c r="B53" s="1390"/>
      <c r="C53" s="1390"/>
      <c r="D53" s="1390"/>
      <c r="E53" s="1390"/>
      <c r="F53" s="1390"/>
      <c r="G53" s="1391"/>
      <c r="H53" s="567" t="s">
        <v>131</v>
      </c>
      <c r="I53" s="568" t="s">
        <v>301</v>
      </c>
      <c r="J53" s="238"/>
    </row>
    <row r="54" spans="1:10" ht="15" customHeight="1" thickBot="1" x14ac:dyDescent="0.25">
      <c r="A54" s="1392"/>
      <c r="B54" s="1393"/>
      <c r="C54" s="1393"/>
      <c r="D54" s="1393"/>
      <c r="E54" s="1393"/>
      <c r="F54" s="1393"/>
      <c r="G54" s="1394"/>
      <c r="H54" s="517">
        <v>40999</v>
      </c>
      <c r="I54" s="518" t="str">
        <f>'Løntabel gældende fra'!D1</f>
        <v>01/04/24</v>
      </c>
      <c r="J54" s="238"/>
    </row>
    <row r="55" spans="1:10" ht="15" customHeight="1" thickBot="1" x14ac:dyDescent="0.25">
      <c r="A55" s="960" t="s">
        <v>190</v>
      </c>
      <c r="B55" s="961"/>
      <c r="C55" s="961"/>
      <c r="D55" s="961"/>
      <c r="E55" s="961"/>
      <c r="F55" s="519"/>
      <c r="G55" s="520"/>
      <c r="H55" s="303">
        <v>655</v>
      </c>
      <c r="I55" s="296">
        <f>ROUND(H55+(H55*'Løntabel gældende fra'!D7%),2)</f>
        <v>804.38</v>
      </c>
      <c r="J55" s="238"/>
    </row>
    <row r="56" spans="1:10" ht="15" customHeight="1" thickBot="1" x14ac:dyDescent="0.3">
      <c r="A56" s="228"/>
      <c r="B56" s="228"/>
      <c r="C56" s="228"/>
      <c r="D56" s="228"/>
      <c r="E56" s="228"/>
      <c r="F56" s="229"/>
      <c r="G56" s="228"/>
      <c r="H56" s="229"/>
      <c r="I56" s="228"/>
      <c r="J56" s="238"/>
    </row>
    <row r="57" spans="1:10" ht="21" customHeight="1" x14ac:dyDescent="0.2">
      <c r="A57" s="911" t="s">
        <v>286</v>
      </c>
      <c r="B57" s="912"/>
      <c r="C57" s="912"/>
      <c r="D57" s="912"/>
      <c r="E57" s="912"/>
      <c r="F57" s="912"/>
      <c r="G57" s="912"/>
      <c r="H57" s="912"/>
      <c r="I57" s="913"/>
      <c r="J57" s="238"/>
    </row>
    <row r="58" spans="1:10" ht="21" customHeight="1" thickBot="1" x14ac:dyDescent="0.25">
      <c r="A58" s="991" t="s">
        <v>271</v>
      </c>
      <c r="B58" s="992"/>
      <c r="C58" s="992"/>
      <c r="D58" s="992"/>
      <c r="E58" s="992"/>
      <c r="F58" s="992"/>
      <c r="G58" s="992"/>
      <c r="H58" s="992"/>
      <c r="I58" s="993"/>
      <c r="J58" s="238"/>
    </row>
    <row r="59" spans="1:10" ht="15" customHeight="1" x14ac:dyDescent="0.2">
      <c r="A59" s="1386" t="s">
        <v>181</v>
      </c>
      <c r="B59" s="1387"/>
      <c r="C59" s="1387"/>
      <c r="D59" s="1387"/>
      <c r="E59" s="1387"/>
      <c r="F59" s="1387"/>
      <c r="G59" s="1388"/>
      <c r="H59" s="515" t="s">
        <v>98</v>
      </c>
      <c r="I59" s="516" t="s">
        <v>103</v>
      </c>
      <c r="J59" s="238"/>
    </row>
    <row r="60" spans="1:10" ht="15" customHeight="1" thickBot="1" x14ac:dyDescent="0.25">
      <c r="A60" s="1319"/>
      <c r="B60" s="1320"/>
      <c r="C60" s="1320"/>
      <c r="D60" s="1320"/>
      <c r="E60" s="1320"/>
      <c r="F60" s="1320"/>
      <c r="G60" s="1321"/>
      <c r="H60" s="517">
        <v>40999</v>
      </c>
      <c r="I60" s="518" t="str">
        <f>'Løntabel gældende fra'!D1</f>
        <v>01/04/24</v>
      </c>
      <c r="J60" s="238"/>
    </row>
    <row r="61" spans="1:10" ht="15" customHeight="1" thickBot="1" x14ac:dyDescent="0.25">
      <c r="A61" s="1322" t="s">
        <v>180</v>
      </c>
      <c r="B61" s="1323"/>
      <c r="C61" s="1323"/>
      <c r="D61" s="1323"/>
      <c r="E61" s="1323"/>
      <c r="F61" s="234"/>
      <c r="G61" s="245"/>
      <c r="H61" s="303">
        <v>0</v>
      </c>
      <c r="I61" s="296">
        <v>0</v>
      </c>
      <c r="J61" s="238"/>
    </row>
    <row r="62" spans="1:10" ht="15" customHeight="1" thickBot="1" x14ac:dyDescent="0.3">
      <c r="A62" s="228"/>
      <c r="B62" s="228"/>
      <c r="C62" s="228"/>
      <c r="D62" s="228"/>
      <c r="E62" s="228"/>
      <c r="F62" s="229"/>
      <c r="G62" s="228"/>
      <c r="H62" s="229"/>
      <c r="I62" s="228"/>
      <c r="J62" s="238"/>
    </row>
    <row r="63" spans="1:10" s="238" customFormat="1" ht="18" x14ac:dyDescent="0.2">
      <c r="A63" s="911" t="s">
        <v>287</v>
      </c>
      <c r="B63" s="912"/>
      <c r="C63" s="912"/>
      <c r="D63" s="912"/>
      <c r="E63" s="912"/>
      <c r="F63" s="912"/>
      <c r="G63" s="912"/>
      <c r="H63" s="912"/>
      <c r="I63" s="913"/>
    </row>
    <row r="64" spans="1:10" s="238" customFormat="1" ht="15.75" thickBot="1" x14ac:dyDescent="0.25">
      <c r="A64" s="991" t="s">
        <v>271</v>
      </c>
      <c r="B64" s="992"/>
      <c r="C64" s="992"/>
      <c r="D64" s="992"/>
      <c r="E64" s="992"/>
      <c r="F64" s="992"/>
      <c r="G64" s="992"/>
      <c r="H64" s="992"/>
      <c r="I64" s="993"/>
    </row>
    <row r="65" spans="1:9" s="238" customFormat="1" ht="25.5" x14ac:dyDescent="0.2">
      <c r="A65" s="957"/>
      <c r="B65" s="958"/>
      <c r="C65" s="958"/>
      <c r="D65" s="958"/>
      <c r="E65" s="958"/>
      <c r="F65" s="958"/>
      <c r="G65" s="959"/>
      <c r="H65" s="567" t="s">
        <v>131</v>
      </c>
      <c r="I65" s="568" t="s">
        <v>301</v>
      </c>
    </row>
    <row r="66" spans="1:9" s="238" customFormat="1" ht="15" thickBot="1" x14ac:dyDescent="0.25">
      <c r="A66" s="1386"/>
      <c r="B66" s="1387"/>
      <c r="C66" s="1387"/>
      <c r="D66" s="1387"/>
      <c r="E66" s="1387"/>
      <c r="F66" s="1387"/>
      <c r="G66" s="1388"/>
      <c r="H66" s="517">
        <v>40999</v>
      </c>
      <c r="I66" s="518" t="str">
        <f>'Løntabel gældende fra'!D1</f>
        <v>01/04/24</v>
      </c>
    </row>
    <row r="67" spans="1:9" s="238" customFormat="1" ht="15" thickBot="1" x14ac:dyDescent="0.25">
      <c r="A67" s="960" t="s">
        <v>184</v>
      </c>
      <c r="B67" s="961"/>
      <c r="C67" s="961"/>
      <c r="D67" s="961"/>
      <c r="E67" s="961"/>
      <c r="F67" s="519"/>
      <c r="G67" s="520"/>
      <c r="H67" s="303">
        <v>10500</v>
      </c>
      <c r="I67" s="304">
        <f>ROUND(H67+(H67*'Løntabel gældende fra'!D7%),2)</f>
        <v>12894.7</v>
      </c>
    </row>
    <row r="68" spans="1:9" s="264" customFormat="1" ht="14.25" x14ac:dyDescent="0.2">
      <c r="A68" s="261"/>
      <c r="B68" s="261"/>
      <c r="C68" s="261"/>
      <c r="D68" s="261"/>
      <c r="E68" s="261"/>
      <c r="F68" s="249"/>
      <c r="G68" s="249"/>
      <c r="H68" s="262"/>
      <c r="I68" s="263"/>
    </row>
  </sheetData>
  <sheetProtection sheet="1" objects="1" scenarios="1"/>
  <mergeCells count="67">
    <mergeCell ref="G13:G14"/>
    <mergeCell ref="H13:H14"/>
    <mergeCell ref="I13:I14"/>
    <mergeCell ref="J13:J14"/>
    <mergeCell ref="A36:I36"/>
    <mergeCell ref="A18:D19"/>
    <mergeCell ref="A21:D21"/>
    <mergeCell ref="A22:J22"/>
    <mergeCell ref="A29:G29"/>
    <mergeCell ref="A30:G30"/>
    <mergeCell ref="A20:D20"/>
    <mergeCell ref="A31:C32"/>
    <mergeCell ref="D31:E31"/>
    <mergeCell ref="F31:G31"/>
    <mergeCell ref="D32:E32"/>
    <mergeCell ref="F32:G32"/>
    <mergeCell ref="A67:E67"/>
    <mergeCell ref="A55:E55"/>
    <mergeCell ref="A61:E61"/>
    <mergeCell ref="A45:I45"/>
    <mergeCell ref="A47:G48"/>
    <mergeCell ref="A49:E49"/>
    <mergeCell ref="A63:I63"/>
    <mergeCell ref="A65:G66"/>
    <mergeCell ref="A58:I58"/>
    <mergeCell ref="A64:I64"/>
    <mergeCell ref="A59:G60"/>
    <mergeCell ref="A53:G54"/>
    <mergeCell ref="A57:I57"/>
    <mergeCell ref="A50:I50"/>
    <mergeCell ref="A37:I37"/>
    <mergeCell ref="A46:I46"/>
    <mergeCell ref="A52:I52"/>
    <mergeCell ref="A38:G39"/>
    <mergeCell ref="A40:E40"/>
    <mergeCell ref="A41:E41"/>
    <mergeCell ref="A42:F42"/>
    <mergeCell ref="A51:I51"/>
    <mergeCell ref="A1:J1"/>
    <mergeCell ref="A2:J2"/>
    <mergeCell ref="A3:J3"/>
    <mergeCell ref="G8:J8"/>
    <mergeCell ref="A8:F8"/>
    <mergeCell ref="A5:J6"/>
    <mergeCell ref="A4:J4"/>
    <mergeCell ref="I10:I11"/>
    <mergeCell ref="J10:J11"/>
    <mergeCell ref="G10:G11"/>
    <mergeCell ref="H10:H11"/>
    <mergeCell ref="A27:C27"/>
    <mergeCell ref="D27:E27"/>
    <mergeCell ref="F27:G27"/>
    <mergeCell ref="A23:G23"/>
    <mergeCell ref="A25:C26"/>
    <mergeCell ref="D25:E25"/>
    <mergeCell ref="F25:G25"/>
    <mergeCell ref="D26:E26"/>
    <mergeCell ref="F26:G26"/>
    <mergeCell ref="A24:G24"/>
    <mergeCell ref="A16:F16"/>
    <mergeCell ref="A17:F17"/>
    <mergeCell ref="A34:C34"/>
    <mergeCell ref="D34:E34"/>
    <mergeCell ref="F34:G34"/>
    <mergeCell ref="A33:C33"/>
    <mergeCell ref="D33:E33"/>
    <mergeCell ref="F33:G33"/>
  </mergeCells>
  <phoneticPr fontId="7" type="noConversion"/>
  <pageMargins left="0.59" right="0.59" top="0.75" bottom="0.75" header="0.31" footer="0.31"/>
  <pageSetup paperSize="9" scale="56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53"/>
  <sheetViews>
    <sheetView view="pageBreakPreview" zoomScaleNormal="125" zoomScaleSheetLayoutView="100" zoomScalePageLayoutView="125" workbookViewId="0">
      <selection activeCell="N32" sqref="N32"/>
    </sheetView>
  </sheetViews>
  <sheetFormatPr defaultColWidth="8.85546875" defaultRowHeight="12.75" x14ac:dyDescent="0.2"/>
  <cols>
    <col min="1" max="7" width="12.7109375" style="212" customWidth="1"/>
    <col min="8" max="8" width="14" style="212" customWidth="1"/>
    <col min="9" max="10" width="12.7109375" style="212" customWidth="1"/>
    <col min="11" max="11" width="8.85546875" style="212"/>
    <col min="12" max="12" width="11.28515625" style="212" bestFit="1" customWidth="1"/>
    <col min="13" max="16384" width="8.85546875" style="212"/>
  </cols>
  <sheetData>
    <row r="1" spans="1:14" ht="20.25" x14ac:dyDescent="0.3">
      <c r="A1" s="1019" t="s">
        <v>19</v>
      </c>
      <c r="B1" s="1020"/>
      <c r="C1" s="1020"/>
      <c r="D1" s="1020"/>
      <c r="E1" s="1020"/>
      <c r="F1" s="1020"/>
      <c r="G1" s="1020"/>
      <c r="H1" s="1020"/>
      <c r="I1" s="1021"/>
    </row>
    <row r="2" spans="1:14" ht="39" customHeight="1" x14ac:dyDescent="0.3">
      <c r="A2" s="1339" t="s">
        <v>189</v>
      </c>
      <c r="B2" s="1340"/>
      <c r="C2" s="1340"/>
      <c r="D2" s="1340"/>
      <c r="E2" s="1340"/>
      <c r="F2" s="1340"/>
      <c r="G2" s="1340"/>
      <c r="H2" s="1340"/>
      <c r="I2" s="1341"/>
    </row>
    <row r="3" spans="1:14" ht="20.25" x14ac:dyDescent="0.3">
      <c r="A3" s="1032" t="str">
        <f>'Forside 1'!A6:I6</f>
        <v>Gældende fra 1. september 2024</v>
      </c>
      <c r="B3" s="1033"/>
      <c r="C3" s="1033"/>
      <c r="D3" s="1033"/>
      <c r="E3" s="1033"/>
      <c r="F3" s="1033"/>
      <c r="G3" s="1033"/>
      <c r="H3" s="1033"/>
      <c r="I3" s="1034"/>
    </row>
    <row r="4" spans="1:14" ht="33.950000000000003" customHeight="1" thickBot="1" x14ac:dyDescent="0.25">
      <c r="A4" s="1406" t="s">
        <v>292</v>
      </c>
      <c r="B4" s="1407"/>
      <c r="C4" s="1407"/>
      <c r="D4" s="1407"/>
      <c r="E4" s="1407"/>
      <c r="F4" s="1407"/>
      <c r="G4" s="1407"/>
      <c r="H4" s="1407"/>
      <c r="I4" s="1408"/>
    </row>
    <row r="5" spans="1:14" ht="15" x14ac:dyDescent="0.25">
      <c r="A5" s="228"/>
      <c r="B5" s="228"/>
      <c r="C5" s="228"/>
      <c r="D5" s="228"/>
      <c r="E5" s="228"/>
      <c r="F5" s="228"/>
      <c r="G5" s="228"/>
      <c r="H5" s="228"/>
      <c r="I5" s="228"/>
      <c r="J5" s="228"/>
    </row>
    <row r="6" spans="1:14" ht="15.75" thickBot="1" x14ac:dyDescent="0.3">
      <c r="A6" s="228"/>
      <c r="B6" s="228"/>
      <c r="C6" s="228"/>
      <c r="D6" s="228"/>
      <c r="E6" s="228"/>
      <c r="F6" s="228"/>
      <c r="G6" s="228"/>
      <c r="H6" s="228"/>
      <c r="I6" s="228"/>
      <c r="J6" s="228"/>
    </row>
    <row r="7" spans="1:14" s="238" customFormat="1" ht="18.75" thickBot="1" x14ac:dyDescent="0.3">
      <c r="A7" s="1247" t="s">
        <v>269</v>
      </c>
      <c r="B7" s="1248"/>
      <c r="C7" s="1248"/>
      <c r="D7" s="1248"/>
      <c r="E7" s="1248"/>
      <c r="F7" s="1249"/>
      <c r="G7" s="1247" t="s">
        <v>168</v>
      </c>
      <c r="H7" s="1248"/>
      <c r="I7" s="1249"/>
      <c r="J7" s="608"/>
    </row>
    <row r="8" spans="1:14" s="238" customFormat="1" ht="15" x14ac:dyDescent="0.2">
      <c r="A8" s="488" t="s">
        <v>57</v>
      </c>
      <c r="B8" s="489" t="s">
        <v>75</v>
      </c>
      <c r="C8" s="489" t="s">
        <v>76</v>
      </c>
      <c r="D8" s="489" t="s">
        <v>77</v>
      </c>
      <c r="E8" s="489" t="s">
        <v>78</v>
      </c>
      <c r="F8" s="489" t="s">
        <v>79</v>
      </c>
      <c r="G8" s="1400" t="s">
        <v>324</v>
      </c>
      <c r="H8" s="1401"/>
      <c r="I8" s="609">
        <v>0.14000000000000001</v>
      </c>
    </row>
    <row r="9" spans="1:14" s="238" customFormat="1" ht="14.1" customHeight="1" x14ac:dyDescent="0.2">
      <c r="A9" s="276" t="s">
        <v>199</v>
      </c>
      <c r="B9" s="448" t="e">
        <f>'Statens skalatrin'!D46+('3F'!#REF!/12)</f>
        <v>#REF!</v>
      </c>
      <c r="C9" s="448" t="e">
        <f>'Statens skalatrin'!F46+('3F'!#REF!/12)</f>
        <v>#REF!</v>
      </c>
      <c r="D9" s="448" t="e">
        <f>'Statens skalatrin'!H46+('3F'!#REF!/12)</f>
        <v>#REF!</v>
      </c>
      <c r="E9" s="448" t="e">
        <f>'Statens skalatrin'!J46+('3F'!#REF!/12)</f>
        <v>#REF!</v>
      </c>
      <c r="F9" s="448" t="e">
        <f>'Statens skalatrin'!L46+('3F'!#REF!/12)</f>
        <v>#REF!</v>
      </c>
      <c r="G9" s="1402">
        <f>'Statens skalatrin'!O46</f>
        <v>21778.67</v>
      </c>
      <c r="H9" s="1403"/>
      <c r="I9" s="326">
        <f>G9*$I$8</f>
        <v>3049.0138000000002</v>
      </c>
      <c r="J9" s="241"/>
      <c r="K9" s="237"/>
    </row>
    <row r="10" spans="1:14" s="238" customFormat="1" ht="15" customHeight="1" x14ac:dyDescent="0.2">
      <c r="A10" s="276">
        <v>17</v>
      </c>
      <c r="B10" s="448">
        <f>'Statens skalatrin'!D55</f>
        <v>24459.5</v>
      </c>
      <c r="C10" s="448">
        <f>'Statens skalatrin'!F55</f>
        <v>24982.33</v>
      </c>
      <c r="D10" s="448">
        <f>'Statens skalatrin'!H55</f>
        <v>25344.33</v>
      </c>
      <c r="E10" s="448">
        <f>'Statens skalatrin'!J55</f>
        <v>25867.08</v>
      </c>
      <c r="F10" s="448">
        <f>'Statens skalatrin'!L55</f>
        <v>26228.83</v>
      </c>
      <c r="G10" s="1402">
        <f>'Statens skalatrin'!O55</f>
        <v>22972.43</v>
      </c>
      <c r="H10" s="1403"/>
      <c r="I10" s="326">
        <f>G10*$I$8</f>
        <v>3216.1402000000003</v>
      </c>
      <c r="J10" s="241"/>
      <c r="K10" s="237"/>
    </row>
    <row r="11" spans="1:14" s="238" customFormat="1" ht="15" customHeight="1" thickBot="1" x14ac:dyDescent="0.3">
      <c r="A11" s="277" t="s">
        <v>169</v>
      </c>
      <c r="B11" s="449" t="e">
        <f>'Statens skalatrin'!D64+('3F'!#REF!/12)</f>
        <v>#REF!</v>
      </c>
      <c r="C11" s="449" t="e">
        <f>'Statens skalatrin'!F64+('3F'!#REF!/12)</f>
        <v>#REF!</v>
      </c>
      <c r="D11" s="449" t="e">
        <f>'Statens skalatrin'!H64+('3F'!#REF!/12)</f>
        <v>#REF!</v>
      </c>
      <c r="E11" s="449" t="e">
        <f>'Statens skalatrin'!J64+('3F'!#REF!/12)</f>
        <v>#REF!</v>
      </c>
      <c r="F11" s="449" t="e">
        <f>'Statens skalatrin'!L64+('3F'!#REF!/12)</f>
        <v>#REF!</v>
      </c>
      <c r="G11" s="1404">
        <f>'Statens skalatrin'!O64</f>
        <v>24267.59</v>
      </c>
      <c r="H11" s="1405"/>
      <c r="I11" s="327">
        <f>G11*$I$8</f>
        <v>3397.4626000000003</v>
      </c>
      <c r="J11" s="241"/>
      <c r="K11" s="237"/>
      <c r="N11" s="240"/>
    </row>
    <row r="12" spans="1:14" s="238" customFormat="1" ht="14.25" x14ac:dyDescent="0.2">
      <c r="B12" s="239"/>
      <c r="C12" s="239"/>
      <c r="D12" s="239"/>
      <c r="E12" s="239"/>
      <c r="F12" s="239"/>
    </row>
    <row r="13" spans="1:14" s="238" customFormat="1" ht="15" thickBot="1" x14ac:dyDescent="0.25">
      <c r="B13" s="239"/>
      <c r="C13" s="239"/>
      <c r="D13" s="239"/>
      <c r="E13" s="239"/>
      <c r="F13" s="239"/>
    </row>
    <row r="14" spans="1:14" s="238" customFormat="1" ht="18.75" thickBot="1" x14ac:dyDescent="0.3">
      <c r="A14" s="1247" t="s">
        <v>270</v>
      </c>
      <c r="B14" s="1248"/>
      <c r="C14" s="1248"/>
      <c r="D14" s="1248"/>
      <c r="E14" s="1248"/>
      <c r="F14" s="1249"/>
    </row>
    <row r="15" spans="1:14" s="238" customFormat="1" ht="15" customHeight="1" thickBot="1" x14ac:dyDescent="0.25">
      <c r="A15" s="1421" t="s">
        <v>171</v>
      </c>
      <c r="B15" s="1422"/>
      <c r="C15" s="1422"/>
      <c r="D15" s="1422"/>
      <c r="E15" s="1422"/>
      <c r="F15" s="1423"/>
    </row>
    <row r="16" spans="1:14" s="238" customFormat="1" ht="15.95" customHeight="1" x14ac:dyDescent="0.2">
      <c r="A16" s="418" t="s">
        <v>57</v>
      </c>
      <c r="B16" s="419" t="s">
        <v>75</v>
      </c>
      <c r="C16" s="418" t="s">
        <v>76</v>
      </c>
      <c r="D16" s="419" t="s">
        <v>77</v>
      </c>
      <c r="E16" s="418" t="s">
        <v>78</v>
      </c>
      <c r="F16" s="420" t="s">
        <v>79</v>
      </c>
    </row>
    <row r="17" spans="1:12" s="238" customFormat="1" ht="15.95" customHeight="1" thickBot="1" x14ac:dyDescent="0.25">
      <c r="A17" s="251" t="s">
        <v>199</v>
      </c>
      <c r="B17" s="450" t="e">
        <f>B9*12/1924</f>
        <v>#REF!</v>
      </c>
      <c r="C17" s="451" t="e">
        <f>C9*12/1924</f>
        <v>#REF!</v>
      </c>
      <c r="D17" s="450" t="e">
        <f>D9*12/1924</f>
        <v>#REF!</v>
      </c>
      <c r="E17" s="451" t="e">
        <f>(E9*12)/1924</f>
        <v>#REF!</v>
      </c>
      <c r="F17" s="452" t="e">
        <f>(F9*12)/1924</f>
        <v>#REF!</v>
      </c>
      <c r="H17" s="237"/>
      <c r="I17" s="237"/>
      <c r="J17" s="237"/>
      <c r="K17" s="237"/>
      <c r="L17" s="237"/>
    </row>
    <row r="18" spans="1:12" s="238" customFormat="1" ht="15.95" customHeight="1" x14ac:dyDescent="0.2">
      <c r="A18" s="247"/>
      <c r="B18" s="246"/>
      <c r="C18" s="246"/>
      <c r="D18" s="246"/>
      <c r="E18" s="246"/>
      <c r="F18" s="246"/>
      <c r="H18" s="237"/>
      <c r="I18" s="237"/>
      <c r="J18" s="237"/>
      <c r="K18" s="237"/>
      <c r="L18" s="237"/>
    </row>
    <row r="19" spans="1:12" s="238" customFormat="1" ht="15" thickBot="1" x14ac:dyDescent="0.25">
      <c r="A19" s="247"/>
      <c r="B19" s="246"/>
      <c r="C19" s="246"/>
      <c r="D19" s="246"/>
      <c r="E19" s="246"/>
      <c r="F19" s="246"/>
    </row>
    <row r="20" spans="1:12" ht="20.100000000000001" customHeight="1" x14ac:dyDescent="0.25">
      <c r="A20" s="911" t="s">
        <v>172</v>
      </c>
      <c r="B20" s="912"/>
      <c r="C20" s="912"/>
      <c r="D20" s="912"/>
      <c r="E20" s="912"/>
      <c r="F20" s="912"/>
      <c r="G20" s="912"/>
      <c r="H20" s="912"/>
      <c r="I20" s="913"/>
      <c r="J20" s="228"/>
    </row>
    <row r="21" spans="1:12" ht="20.100000000000001" customHeight="1" thickBot="1" x14ac:dyDescent="0.3">
      <c r="A21" s="991" t="s">
        <v>275</v>
      </c>
      <c r="B21" s="992"/>
      <c r="C21" s="992"/>
      <c r="D21" s="992"/>
      <c r="E21" s="992"/>
      <c r="F21" s="992"/>
      <c r="G21" s="992"/>
      <c r="H21" s="992"/>
      <c r="I21" s="993"/>
      <c r="J21" s="228"/>
    </row>
    <row r="22" spans="1:12" s="238" customFormat="1" ht="30" customHeight="1" thickBot="1" x14ac:dyDescent="0.3">
      <c r="A22" s="1324"/>
      <c r="B22" s="1325"/>
      <c r="C22" s="1325"/>
      <c r="D22" s="1325"/>
      <c r="E22" s="1325"/>
      <c r="F22" s="1325"/>
      <c r="G22" s="1325"/>
      <c r="H22" s="571" t="s">
        <v>302</v>
      </c>
      <c r="I22" s="566" t="s">
        <v>303</v>
      </c>
    </row>
    <row r="23" spans="1:12" s="238" customFormat="1" ht="15.75" thickBot="1" x14ac:dyDescent="0.3">
      <c r="A23" s="1383"/>
      <c r="B23" s="1384"/>
      <c r="C23" s="1384"/>
      <c r="D23" s="1384"/>
      <c r="E23" s="1384"/>
      <c r="F23" s="1384"/>
      <c r="G23" s="1385"/>
      <c r="H23" s="510">
        <v>40999</v>
      </c>
      <c r="I23" s="573" t="str">
        <f>'Løntabel gældende fra'!D1</f>
        <v>01/04/24</v>
      </c>
    </row>
    <row r="24" spans="1:12" s="238" customFormat="1" ht="17.100000000000001" customHeight="1" x14ac:dyDescent="0.2">
      <c r="A24" s="1419" t="s">
        <v>173</v>
      </c>
      <c r="B24" s="1420"/>
      <c r="C24" s="1420"/>
      <c r="D24" s="1420"/>
      <c r="E24" s="1420"/>
      <c r="F24" s="490"/>
      <c r="G24" s="491" t="s">
        <v>165</v>
      </c>
      <c r="H24" s="160">
        <v>22.32</v>
      </c>
      <c r="I24" s="493">
        <f>H24+(H24*'Løntabel gældende fra'!$D$7%)</f>
        <v>27.41045544</v>
      </c>
    </row>
    <row r="25" spans="1:12" s="238" customFormat="1" ht="17.100000000000001" customHeight="1" x14ac:dyDescent="0.2">
      <c r="A25" s="1337" t="s">
        <v>174</v>
      </c>
      <c r="B25" s="1338"/>
      <c r="C25" s="1338"/>
      <c r="D25" s="1338"/>
      <c r="E25" s="1338"/>
      <c r="F25" s="253"/>
      <c r="G25" s="236" t="s">
        <v>165</v>
      </c>
      <c r="H25" s="181">
        <v>39.92</v>
      </c>
      <c r="I25" s="493">
        <f>H25+(H25*'Løntabel gældende fra'!$D$7%)</f>
        <v>49.024434640000003</v>
      </c>
    </row>
    <row r="26" spans="1:12" s="238" customFormat="1" ht="17.100000000000001" customHeight="1" x14ac:dyDescent="0.2">
      <c r="A26" s="1329" t="s">
        <v>175</v>
      </c>
      <c r="B26" s="1330"/>
      <c r="C26" s="1330"/>
      <c r="D26" s="1330"/>
      <c r="E26" s="1330"/>
      <c r="F26" s="1330"/>
      <c r="G26" s="236" t="s">
        <v>165</v>
      </c>
      <c r="H26" s="181">
        <v>39.92</v>
      </c>
      <c r="I26" s="493">
        <f>H26+(H26*'Løntabel gældende fra'!$D$7%)</f>
        <v>49.024434640000003</v>
      </c>
    </row>
    <row r="27" spans="1:12" s="238" customFormat="1" ht="17.100000000000001" customHeight="1" thickBot="1" x14ac:dyDescent="0.3">
      <c r="A27" s="266" t="s">
        <v>164</v>
      </c>
      <c r="B27" s="265"/>
      <c r="C27" s="265"/>
      <c r="D27" s="265"/>
      <c r="E27" s="250"/>
      <c r="F27" s="250"/>
      <c r="G27" s="260" t="s">
        <v>165</v>
      </c>
      <c r="H27" s="161">
        <v>39.92</v>
      </c>
      <c r="I27" s="483">
        <f>H27+(H27*'Løntabel gældende fra'!$D$7%)</f>
        <v>49.024434640000003</v>
      </c>
    </row>
    <row r="28" spans="1:12" s="238" customFormat="1" ht="15" x14ac:dyDescent="0.25">
      <c r="A28" s="228"/>
      <c r="B28" s="228"/>
      <c r="C28" s="228"/>
      <c r="D28" s="228"/>
      <c r="E28" s="228"/>
      <c r="F28" s="229"/>
      <c r="G28" s="228"/>
      <c r="H28" s="229"/>
      <c r="I28" s="228"/>
    </row>
    <row r="29" spans="1:12" s="238" customFormat="1" ht="15.75" thickBot="1" x14ac:dyDescent="0.3">
      <c r="A29" s="228"/>
      <c r="B29" s="228"/>
      <c r="C29" s="228"/>
      <c r="D29" s="228"/>
      <c r="E29" s="228"/>
      <c r="F29" s="229"/>
      <c r="G29" s="228"/>
      <c r="H29" s="229"/>
      <c r="I29" s="228"/>
    </row>
    <row r="30" spans="1:12" s="238" customFormat="1" ht="18" x14ac:dyDescent="0.2">
      <c r="A30" s="911" t="s">
        <v>176</v>
      </c>
      <c r="B30" s="912"/>
      <c r="C30" s="912"/>
      <c r="D30" s="912"/>
      <c r="E30" s="912"/>
      <c r="F30" s="912"/>
      <c r="G30" s="912"/>
      <c r="H30" s="912"/>
      <c r="I30" s="913"/>
    </row>
    <row r="31" spans="1:12" s="238" customFormat="1" ht="15.75" thickBot="1" x14ac:dyDescent="0.25">
      <c r="A31" s="991" t="s">
        <v>271</v>
      </c>
      <c r="B31" s="992"/>
      <c r="C31" s="992"/>
      <c r="D31" s="992"/>
      <c r="E31" s="992"/>
      <c r="F31" s="992"/>
      <c r="G31" s="992"/>
      <c r="H31" s="992"/>
      <c r="I31" s="993"/>
    </row>
    <row r="32" spans="1:12" s="238" customFormat="1" ht="30.75" thickBot="1" x14ac:dyDescent="0.3">
      <c r="A32" s="1383"/>
      <c r="B32" s="1384"/>
      <c r="C32" s="1384"/>
      <c r="D32" s="1384"/>
      <c r="E32" s="1384"/>
      <c r="F32" s="1384"/>
      <c r="G32" s="1385"/>
      <c r="H32" s="571" t="s">
        <v>302</v>
      </c>
      <c r="I32" s="566" t="s">
        <v>303</v>
      </c>
    </row>
    <row r="33" spans="1:9" s="238" customFormat="1" ht="15.75" thickBot="1" x14ac:dyDescent="0.3">
      <c r="A33" s="1416"/>
      <c r="B33" s="1417"/>
      <c r="C33" s="1417"/>
      <c r="D33" s="1417"/>
      <c r="E33" s="1417"/>
      <c r="F33" s="1417"/>
      <c r="G33" s="1418"/>
      <c r="H33" s="510">
        <v>40999</v>
      </c>
      <c r="I33" s="573" t="str">
        <f>'Løntabel gældende fra'!D1</f>
        <v>01/04/24</v>
      </c>
    </row>
    <row r="34" spans="1:9" s="238" customFormat="1" ht="15" thickBot="1" x14ac:dyDescent="0.25">
      <c r="A34" s="960" t="s">
        <v>261</v>
      </c>
      <c r="B34" s="961"/>
      <c r="C34" s="961"/>
      <c r="D34" s="961"/>
      <c r="E34" s="961"/>
      <c r="F34" s="519"/>
      <c r="G34" s="520" t="s">
        <v>165</v>
      </c>
      <c r="H34" s="162">
        <v>6.88</v>
      </c>
      <c r="I34" s="483">
        <f>H34+(H34*'Løntabel gældende fra'!D7%)</f>
        <v>8.4491009599999991</v>
      </c>
    </row>
    <row r="35" spans="1:9" s="238" customFormat="1" ht="15" x14ac:dyDescent="0.25">
      <c r="A35" s="228"/>
      <c r="B35" s="228"/>
      <c r="C35" s="228"/>
      <c r="D35" s="228"/>
      <c r="E35" s="228"/>
      <c r="F35" s="229"/>
      <c r="G35" s="228"/>
      <c r="H35" s="229"/>
      <c r="I35" s="228"/>
    </row>
    <row r="36" spans="1:9" s="238" customFormat="1" ht="15.75" thickBot="1" x14ac:dyDescent="0.3">
      <c r="A36" s="228"/>
      <c r="B36" s="228"/>
      <c r="C36" s="228"/>
      <c r="D36" s="228"/>
      <c r="E36" s="228"/>
      <c r="F36" s="229"/>
      <c r="G36" s="228"/>
      <c r="H36" s="229"/>
      <c r="I36" s="228"/>
    </row>
    <row r="37" spans="1:9" s="238" customFormat="1" ht="18" x14ac:dyDescent="0.2">
      <c r="A37" s="911" t="s">
        <v>288</v>
      </c>
      <c r="B37" s="912"/>
      <c r="C37" s="912"/>
      <c r="D37" s="912"/>
      <c r="E37" s="912"/>
      <c r="F37" s="912"/>
      <c r="G37" s="912"/>
      <c r="H37" s="912"/>
      <c r="I37" s="913"/>
    </row>
    <row r="38" spans="1:9" s="238" customFormat="1" ht="15.75" thickBot="1" x14ac:dyDescent="0.25">
      <c r="A38" s="1409" t="s">
        <v>275</v>
      </c>
      <c r="B38" s="1410"/>
      <c r="C38" s="1410"/>
      <c r="D38" s="1410"/>
      <c r="E38" s="1410"/>
      <c r="F38" s="1410"/>
      <c r="G38" s="1410"/>
      <c r="H38" s="1410"/>
      <c r="I38" s="1411"/>
    </row>
    <row r="39" spans="1:9" s="238" customFormat="1" ht="33" customHeight="1" x14ac:dyDescent="0.25">
      <c r="A39" s="1389"/>
      <c r="B39" s="1390"/>
      <c r="C39" s="1390"/>
      <c r="D39" s="1390"/>
      <c r="E39" s="1390"/>
      <c r="F39" s="1390"/>
      <c r="G39" s="1391"/>
      <c r="H39" s="569" t="s">
        <v>131</v>
      </c>
      <c r="I39" s="565" t="s">
        <v>301</v>
      </c>
    </row>
    <row r="40" spans="1:9" s="238" customFormat="1" ht="15.75" thickBot="1" x14ac:dyDescent="0.3">
      <c r="A40" s="1413"/>
      <c r="B40" s="1414"/>
      <c r="C40" s="1414"/>
      <c r="D40" s="1414"/>
      <c r="E40" s="1414"/>
      <c r="F40" s="1414"/>
      <c r="G40" s="1415"/>
      <c r="H40" s="510">
        <v>40999</v>
      </c>
      <c r="I40" s="573" t="str">
        <f>'Løntabel gældende fra'!D1</f>
        <v>01/04/24</v>
      </c>
    </row>
    <row r="41" spans="1:9" s="238" customFormat="1" ht="15" thickBot="1" x14ac:dyDescent="0.25">
      <c r="A41" s="960" t="s">
        <v>262</v>
      </c>
      <c r="B41" s="961"/>
      <c r="C41" s="961"/>
      <c r="D41" s="961"/>
      <c r="E41" s="961"/>
      <c r="F41" s="519"/>
      <c r="G41" s="520"/>
      <c r="H41" s="162">
        <v>655</v>
      </c>
      <c r="I41" s="483">
        <f>H41+(H41*'Løntabel gældende fra'!D7%)</f>
        <v>804.38388499999996</v>
      </c>
    </row>
    <row r="42" spans="1:9" s="238" customFormat="1" ht="15" x14ac:dyDescent="0.25">
      <c r="A42" s="228"/>
      <c r="B42" s="228"/>
      <c r="C42" s="228"/>
      <c r="D42" s="228"/>
      <c r="E42" s="228"/>
      <c r="F42" s="229"/>
      <c r="G42" s="228"/>
      <c r="H42" s="229"/>
      <c r="I42" s="228"/>
    </row>
    <row r="43" spans="1:9" s="238" customFormat="1" ht="15.75" thickBot="1" x14ac:dyDescent="0.3">
      <c r="A43" s="228"/>
      <c r="B43" s="228"/>
      <c r="C43" s="228"/>
      <c r="D43" s="228"/>
      <c r="E43" s="228"/>
      <c r="F43" s="229"/>
      <c r="G43" s="228"/>
      <c r="H43" s="229"/>
      <c r="I43" s="228"/>
    </row>
    <row r="44" spans="1:9" s="238" customFormat="1" ht="18" x14ac:dyDescent="0.2">
      <c r="A44" s="911" t="s">
        <v>287</v>
      </c>
      <c r="B44" s="912"/>
      <c r="C44" s="912"/>
      <c r="D44" s="912"/>
      <c r="E44" s="912"/>
      <c r="F44" s="912"/>
      <c r="G44" s="912"/>
      <c r="H44" s="912"/>
      <c r="I44" s="913"/>
    </row>
    <row r="45" spans="1:9" s="238" customFormat="1" ht="15.75" thickBot="1" x14ac:dyDescent="0.25">
      <c r="A45" s="1409" t="s">
        <v>271</v>
      </c>
      <c r="B45" s="1410"/>
      <c r="C45" s="1410"/>
      <c r="D45" s="1410"/>
      <c r="E45" s="1410"/>
      <c r="F45" s="1410"/>
      <c r="G45" s="1410"/>
      <c r="H45" s="1410"/>
      <c r="I45" s="1411"/>
    </row>
    <row r="46" spans="1:9" s="238" customFormat="1" ht="30" x14ac:dyDescent="0.25">
      <c r="A46" s="957"/>
      <c r="B46" s="958"/>
      <c r="C46" s="958"/>
      <c r="D46" s="958"/>
      <c r="E46" s="958"/>
      <c r="F46" s="958"/>
      <c r="G46" s="959"/>
      <c r="H46" s="569" t="s">
        <v>131</v>
      </c>
      <c r="I46" s="565" t="s">
        <v>301</v>
      </c>
    </row>
    <row r="47" spans="1:9" s="238" customFormat="1" ht="15.75" thickBot="1" x14ac:dyDescent="0.3">
      <c r="A47" s="960"/>
      <c r="B47" s="961"/>
      <c r="C47" s="961"/>
      <c r="D47" s="961"/>
      <c r="E47" s="961"/>
      <c r="F47" s="961"/>
      <c r="G47" s="962"/>
      <c r="H47" s="510">
        <v>40999</v>
      </c>
      <c r="I47" s="573" t="str">
        <f>'Løntabel gældende fra'!D1</f>
        <v>01/04/24</v>
      </c>
    </row>
    <row r="48" spans="1:9" s="238" customFormat="1" ht="15" thickBot="1" x14ac:dyDescent="0.25">
      <c r="A48" s="960" t="s">
        <v>184</v>
      </c>
      <c r="B48" s="961"/>
      <c r="C48" s="961"/>
      <c r="D48" s="961"/>
      <c r="E48" s="961"/>
      <c r="F48" s="519"/>
      <c r="G48" s="520"/>
      <c r="H48" s="162">
        <v>10500</v>
      </c>
      <c r="I48" s="483">
        <f>H48+(H48*'Løntabel gældende fra'!D7%)</f>
        <v>12894.7035</v>
      </c>
    </row>
    <row r="49" spans="1:10" s="238" customFormat="1" ht="14.25" x14ac:dyDescent="0.2"/>
    <row r="50" spans="1:10" s="238" customFormat="1" ht="15" thickBot="1" x14ac:dyDescent="0.25"/>
    <row r="51" spans="1:10" s="238" customFormat="1" ht="18" x14ac:dyDescent="0.2">
      <c r="A51" s="911" t="s">
        <v>286</v>
      </c>
      <c r="B51" s="912"/>
      <c r="C51" s="912"/>
      <c r="D51" s="912"/>
      <c r="E51" s="912"/>
      <c r="F51" s="912"/>
      <c r="G51" s="912"/>
      <c r="H51" s="912"/>
      <c r="I51" s="913"/>
    </row>
    <row r="52" spans="1:10" s="238" customFormat="1" ht="15.75" thickBot="1" x14ac:dyDescent="0.25">
      <c r="A52" s="991" t="s">
        <v>271</v>
      </c>
      <c r="B52" s="992"/>
      <c r="C52" s="992"/>
      <c r="D52" s="992"/>
      <c r="E52" s="992"/>
      <c r="F52" s="992"/>
      <c r="G52" s="992"/>
      <c r="H52" s="992"/>
      <c r="I52" s="993"/>
    </row>
    <row r="53" spans="1:10" s="238" customFormat="1" ht="14.25" x14ac:dyDescent="0.2">
      <c r="A53" s="1386" t="s">
        <v>317</v>
      </c>
      <c r="B53" s="1387"/>
      <c r="C53" s="1387"/>
      <c r="D53" s="1387"/>
      <c r="E53" s="1387"/>
      <c r="F53" s="1387"/>
      <c r="G53" s="1388"/>
      <c r="H53" s="515" t="s">
        <v>98</v>
      </c>
      <c r="I53" s="516" t="s">
        <v>103</v>
      </c>
    </row>
    <row r="54" spans="1:10" s="238" customFormat="1" ht="15.75" thickBot="1" x14ac:dyDescent="0.3">
      <c r="A54" s="1319"/>
      <c r="B54" s="1320"/>
      <c r="C54" s="1320"/>
      <c r="D54" s="1320"/>
      <c r="E54" s="1320"/>
      <c r="F54" s="1320"/>
      <c r="G54" s="1321"/>
      <c r="H54" s="517">
        <v>40999</v>
      </c>
      <c r="I54" s="573" t="str">
        <f>'Løntabel gældende fra'!D1</f>
        <v>01/04/24</v>
      </c>
    </row>
    <row r="55" spans="1:10" s="238" customFormat="1" ht="15" thickBot="1" x14ac:dyDescent="0.25">
      <c r="A55" s="1322" t="s">
        <v>268</v>
      </c>
      <c r="B55" s="1323"/>
      <c r="C55" s="1323"/>
      <c r="D55" s="1323"/>
      <c r="E55" s="1323"/>
      <c r="F55" s="234"/>
      <c r="G55" s="245"/>
      <c r="H55" s="303">
        <v>0</v>
      </c>
      <c r="I55" s="296">
        <v>0</v>
      </c>
    </row>
    <row r="56" spans="1:10" s="238" customFormat="1" ht="14.25" x14ac:dyDescent="0.2"/>
    <row r="57" spans="1:10" s="238" customFormat="1" ht="15" x14ac:dyDescent="0.25">
      <c r="A57" s="1412"/>
      <c r="B57" s="1412"/>
      <c r="C57" s="1412"/>
      <c r="D57" s="1412"/>
      <c r="E57" s="1412"/>
      <c r="F57" s="1412"/>
      <c r="G57" s="1412"/>
      <c r="H57" s="1412"/>
      <c r="I57" s="1412"/>
      <c r="J57" s="1412"/>
    </row>
    <row r="58" spans="1:10" s="238" customFormat="1" ht="15" x14ac:dyDescent="0.25">
      <c r="A58" s="484"/>
    </row>
    <row r="59" spans="1:10" s="238" customFormat="1" ht="14.25" x14ac:dyDescent="0.2"/>
    <row r="60" spans="1:10" s="238" customFormat="1" ht="14.25" x14ac:dyDescent="0.2"/>
    <row r="61" spans="1:10" s="238" customFormat="1" ht="14.25" x14ac:dyDescent="0.2"/>
    <row r="62" spans="1:10" s="238" customFormat="1" ht="14.25" x14ac:dyDescent="0.2"/>
    <row r="72" s="238" customFormat="1" ht="14.25" x14ac:dyDescent="0.2"/>
    <row r="73" s="238" customFormat="1" ht="14.25" x14ac:dyDescent="0.2"/>
    <row r="74" s="238" customFormat="1" ht="14.25" x14ac:dyDescent="0.2"/>
    <row r="75" s="238" customFormat="1" ht="14.25" x14ac:dyDescent="0.2"/>
    <row r="76" s="238" customFormat="1" ht="14.25" x14ac:dyDescent="0.2"/>
    <row r="77" s="238" customFormat="1" ht="14.25" x14ac:dyDescent="0.2"/>
    <row r="78" s="238" customFormat="1" ht="14.25" x14ac:dyDescent="0.2"/>
    <row r="79" s="238" customFormat="1" ht="14.25" x14ac:dyDescent="0.2"/>
    <row r="80" s="238" customFormat="1" ht="14.25" x14ac:dyDescent="0.2"/>
    <row r="81" s="238" customFormat="1" ht="14.25" x14ac:dyDescent="0.2"/>
    <row r="82" s="238" customFormat="1" ht="14.25" x14ac:dyDescent="0.2"/>
    <row r="83" s="238" customFormat="1" ht="14.25" x14ac:dyDescent="0.2"/>
    <row r="84" s="238" customFormat="1" ht="14.25" x14ac:dyDescent="0.2"/>
    <row r="85" s="238" customFormat="1" ht="14.25" x14ac:dyDescent="0.2"/>
    <row r="86" s="238" customFormat="1" ht="14.25" x14ac:dyDescent="0.2"/>
    <row r="87" s="238" customFormat="1" ht="14.25" x14ac:dyDescent="0.2"/>
    <row r="88" s="238" customFormat="1" ht="14.25" x14ac:dyDescent="0.2"/>
    <row r="89" s="238" customFormat="1" ht="14.25" x14ac:dyDescent="0.2"/>
    <row r="90" s="238" customFormat="1" ht="14.25" x14ac:dyDescent="0.2"/>
    <row r="91" s="238" customFormat="1" ht="14.25" x14ac:dyDescent="0.2"/>
    <row r="92" s="238" customFormat="1" ht="14.25" x14ac:dyDescent="0.2"/>
    <row r="93" s="238" customFormat="1" ht="14.25" x14ac:dyDescent="0.2"/>
    <row r="94" s="238" customFormat="1" ht="14.25" x14ac:dyDescent="0.2"/>
    <row r="95" s="238" customFormat="1" ht="14.25" x14ac:dyDescent="0.2"/>
    <row r="96" s="238" customFormat="1" ht="14.25" x14ac:dyDescent="0.2"/>
    <row r="97" s="238" customFormat="1" ht="14.25" x14ac:dyDescent="0.2"/>
    <row r="98" s="238" customFormat="1" ht="14.25" x14ac:dyDescent="0.2"/>
    <row r="99" s="238" customFormat="1" ht="14.25" x14ac:dyDescent="0.2"/>
    <row r="100" s="238" customFormat="1" ht="14.25" x14ac:dyDescent="0.2"/>
    <row r="101" s="238" customFormat="1" ht="14.25" x14ac:dyDescent="0.2"/>
    <row r="102" s="238" customFormat="1" ht="14.25" x14ac:dyDescent="0.2"/>
    <row r="103" s="238" customFormat="1" ht="14.25" x14ac:dyDescent="0.2"/>
    <row r="104" s="238" customFormat="1" ht="14.25" x14ac:dyDescent="0.2"/>
    <row r="105" s="238" customFormat="1" ht="14.25" x14ac:dyDescent="0.2"/>
    <row r="106" s="238" customFormat="1" ht="14.25" x14ac:dyDescent="0.2"/>
    <row r="107" s="238" customFormat="1" ht="14.25" x14ac:dyDescent="0.2"/>
    <row r="108" s="238" customFormat="1" ht="14.25" x14ac:dyDescent="0.2"/>
    <row r="109" s="238" customFormat="1" ht="14.25" x14ac:dyDescent="0.2"/>
    <row r="110" s="238" customFormat="1" ht="14.25" x14ac:dyDescent="0.2"/>
    <row r="111" s="238" customFormat="1" ht="14.25" x14ac:dyDescent="0.2"/>
    <row r="112" s="238" customFormat="1" ht="14.25" x14ac:dyDescent="0.2"/>
    <row r="113" s="238" customFormat="1" ht="14.25" x14ac:dyDescent="0.2"/>
    <row r="114" s="238" customFormat="1" ht="14.25" x14ac:dyDescent="0.2"/>
    <row r="115" s="238" customFormat="1" ht="14.25" x14ac:dyDescent="0.2"/>
    <row r="116" s="238" customFormat="1" ht="14.25" x14ac:dyDescent="0.2"/>
    <row r="117" s="238" customFormat="1" ht="14.25" x14ac:dyDescent="0.2"/>
    <row r="118" s="238" customFormat="1" ht="14.25" x14ac:dyDescent="0.2"/>
    <row r="119" s="238" customFormat="1" ht="14.25" x14ac:dyDescent="0.2"/>
    <row r="120" s="238" customFormat="1" ht="14.25" x14ac:dyDescent="0.2"/>
    <row r="121" s="238" customFormat="1" ht="14.25" x14ac:dyDescent="0.2"/>
    <row r="122" s="238" customFormat="1" ht="14.25" x14ac:dyDescent="0.2"/>
    <row r="123" s="238" customFormat="1" ht="14.25" x14ac:dyDescent="0.2"/>
    <row r="124" s="238" customFormat="1" ht="14.25" x14ac:dyDescent="0.2"/>
    <row r="125" s="238" customFormat="1" ht="14.25" x14ac:dyDescent="0.2"/>
    <row r="126" s="238" customFormat="1" ht="14.25" x14ac:dyDescent="0.2"/>
    <row r="127" s="238" customFormat="1" ht="14.25" x14ac:dyDescent="0.2"/>
    <row r="128" s="238" customFormat="1" ht="14.25" x14ac:dyDescent="0.2"/>
    <row r="129" s="238" customFormat="1" ht="14.25" x14ac:dyDescent="0.2"/>
    <row r="130" s="238" customFormat="1" ht="14.25" x14ac:dyDescent="0.2"/>
    <row r="131" s="238" customFormat="1" ht="14.25" x14ac:dyDescent="0.2"/>
    <row r="132" s="238" customFormat="1" ht="14.25" x14ac:dyDescent="0.2"/>
    <row r="133" s="238" customFormat="1" ht="14.25" x14ac:dyDescent="0.2"/>
    <row r="134" s="238" customFormat="1" ht="14.25" x14ac:dyDescent="0.2"/>
    <row r="135" s="238" customFormat="1" ht="14.25" x14ac:dyDescent="0.2"/>
    <row r="136" s="238" customFormat="1" ht="14.25" x14ac:dyDescent="0.2"/>
    <row r="137" s="238" customFormat="1" ht="14.25" x14ac:dyDescent="0.2"/>
    <row r="138" s="238" customFormat="1" ht="14.25" x14ac:dyDescent="0.2"/>
    <row r="139" s="238" customFormat="1" ht="14.25" x14ac:dyDescent="0.2"/>
    <row r="140" s="238" customFormat="1" ht="14.25" x14ac:dyDescent="0.2"/>
    <row r="141" s="238" customFormat="1" ht="14.25" x14ac:dyDescent="0.2"/>
    <row r="142" s="238" customFormat="1" ht="14.25" x14ac:dyDescent="0.2"/>
    <row r="143" s="238" customFormat="1" ht="14.25" x14ac:dyDescent="0.2"/>
    <row r="144" s="238" customFormat="1" ht="14.25" x14ac:dyDescent="0.2"/>
    <row r="145" s="238" customFormat="1" ht="14.25" x14ac:dyDescent="0.2"/>
    <row r="146" s="238" customFormat="1" ht="14.25" x14ac:dyDescent="0.2"/>
    <row r="147" s="238" customFormat="1" ht="14.25" x14ac:dyDescent="0.2"/>
    <row r="148" s="238" customFormat="1" ht="14.25" x14ac:dyDescent="0.2"/>
    <row r="149" s="238" customFormat="1" ht="14.25" x14ac:dyDescent="0.2"/>
    <row r="150" s="238" customFormat="1" ht="14.25" x14ac:dyDescent="0.2"/>
    <row r="151" s="238" customFormat="1" ht="14.25" x14ac:dyDescent="0.2"/>
    <row r="152" s="238" customFormat="1" ht="14.25" x14ac:dyDescent="0.2"/>
    <row r="153" s="238" customFormat="1" ht="14.25" x14ac:dyDescent="0.2"/>
  </sheetData>
  <sheetProtection sheet="1" objects="1" scenarios="1"/>
  <mergeCells count="35"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</mergeCells>
  <phoneticPr fontId="7" type="noConversion"/>
  <pageMargins left="0.71" right="0.71" top="0.75" bottom="0.75" header="0.31" footer="0.31"/>
  <pageSetup paperSize="9" scale="67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17</vt:i4>
      </vt:variant>
    </vt:vector>
  </HeadingPairs>
  <TitlesOfParts>
    <vt:vector size="30" baseType="lpstr">
      <vt:lpstr>Forside 1</vt:lpstr>
      <vt:lpstr>Lønoversigt mm.</vt:lpstr>
      <vt:lpstr>Lærere og bh kl ledere</vt:lpstr>
      <vt:lpstr>Ledere</vt:lpstr>
      <vt:lpstr>BUPL-FOA</vt:lpstr>
      <vt:lpstr>3f (LS_DSSV)</vt:lpstr>
      <vt:lpstr>HK (LS)</vt:lpstr>
      <vt:lpstr>3F</vt:lpstr>
      <vt:lpstr>3F (DPS)</vt:lpstr>
      <vt:lpstr>HK</vt:lpstr>
      <vt:lpstr>Generelle satser</vt:lpstr>
      <vt:lpstr>Statens skalatrin</vt:lpstr>
      <vt:lpstr>Løntabel gældende fra</vt:lpstr>
      <vt:lpstr>'3F'!Udskriftsområde</vt:lpstr>
      <vt:lpstr>'3f (LS_DSSV)'!Udskriftsområde</vt:lpstr>
      <vt:lpstr>'BUPL-FOA'!Udskriftsområde</vt:lpstr>
      <vt:lpstr>'Forside 1'!Udskriftsområde</vt:lpstr>
      <vt:lpstr>'Generelle satser'!Udskriftsområde</vt:lpstr>
      <vt:lpstr>HK!Udskriftsområde</vt:lpstr>
      <vt:lpstr>'HK (LS)'!Udskriftsområde</vt:lpstr>
      <vt:lpstr>Ledere!Udskriftsområde</vt:lpstr>
      <vt:lpstr>'Lærere og bh kl ledere'!Udskriftsområde</vt:lpstr>
      <vt:lpstr>'Løntabel gældende fra'!Udskriftsområde</vt:lpstr>
      <vt:lpstr>'Statens skalatrin'!Udskriftsområde</vt:lpstr>
      <vt:lpstr>'3F'!Udskriftstitler</vt:lpstr>
      <vt:lpstr>'3f (LS_DSSV)'!Udskriftstitler</vt:lpstr>
      <vt:lpstr>'BUPL-FOA'!Udskriftstitler</vt:lpstr>
      <vt:lpstr>'Generelle satser'!Udskriftstitler</vt:lpstr>
      <vt:lpstr>'Lærere og bh kl ledere'!Udskriftstitler</vt:lpstr>
      <vt:lpstr>'Statens skalatrin'!Udskriftstitler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Lars Larsen</cp:lastModifiedBy>
  <cp:lastPrinted>2023-02-09T09:26:38Z</cp:lastPrinted>
  <dcterms:created xsi:type="dcterms:W3CDTF">2014-05-07T09:31:49Z</dcterms:created>
  <dcterms:modified xsi:type="dcterms:W3CDTF">2024-08-23T11:59:43Z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